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Association_Audit_FY20\"/>
    </mc:Choice>
  </mc:AlternateContent>
  <bookViews>
    <workbookView xWindow="0" yWindow="0" windowWidth="21600" windowHeight="9600" tabRatio="825"/>
  </bookViews>
  <sheets>
    <sheet name="Allocation " sheetId="9" r:id="rId1"/>
    <sheet name="Budget Committee" sheetId="3" r:id="rId2"/>
    <sheet name="Athletic Committee" sheetId="10" r:id="rId3"/>
    <sheet name="Child &amp; Family Center" sheetId="11" r:id="rId4"/>
    <sheet name="Studyaway Fund" sheetId="12" r:id="rId5"/>
    <sheet name="Game Room" sheetId="13" r:id="rId6"/>
    <sheet name="YC Radio Station" sheetId="14" r:id="rId7"/>
    <sheet name="APAF" sheetId="15" r:id="rId8"/>
    <sheet name="Student Government" sheetId="16" r:id="rId9"/>
    <sheet name="Student Clubs" sheetId="17" r:id="rId10"/>
    <sheet name="Pandora's Box" sheetId="18" r:id="rId11"/>
    <sheet name="Administrative Fee" sheetId="25" r:id="rId12"/>
    <sheet name="Fee Breakdown" sheetId="24" r:id="rId13"/>
    <sheet name="Referendums" sheetId="22" r:id="rId14"/>
    <sheet name="Enrollment" sheetId="23" r:id="rId15"/>
  </sheets>
  <externalReferences>
    <externalReference r:id="rId16"/>
  </externalReferences>
  <definedNames>
    <definedName name="_xlnm.Print_Area" localSheetId="0">'Allocation '!$A$1:$U$84</definedName>
    <definedName name="_xlnm.Print_Area" localSheetId="2">'Athletic Committee'!$A$1:$M$39</definedName>
    <definedName name="_xlnm.Print_Area" localSheetId="1">'Budget Committee'!$A$1:$M$60</definedName>
    <definedName name="_xlnm.Print_Area" localSheetId="4">'Studyaway Fund'!$A$1:$N$21</definedName>
    <definedName name="VCHR_PANELS_WK3_GO_PB" localSheetId="8">'Student Government'!$Q$46</definedName>
  </definedNames>
  <calcPr calcId="162913"/>
</workbook>
</file>

<file path=xl/calcChain.xml><?xml version="1.0" encoding="utf-8"?>
<calcChain xmlns="http://schemas.openxmlformats.org/spreadsheetml/2006/main">
  <c r="E22" i="10" l="1"/>
  <c r="E33" i="10"/>
  <c r="E30" i="10"/>
  <c r="E25" i="10"/>
  <c r="E24" i="10"/>
  <c r="E18" i="10"/>
  <c r="P15" i="9"/>
  <c r="O15" i="9"/>
  <c r="N15" i="9"/>
  <c r="M15" i="9"/>
  <c r="L15" i="9"/>
  <c r="T15" i="9"/>
  <c r="S15" i="9"/>
  <c r="R15" i="9"/>
  <c r="Q15" i="9"/>
  <c r="N14" i="9"/>
  <c r="T14" i="9"/>
  <c r="S14" i="9"/>
  <c r="R14" i="9"/>
  <c r="Q14" i="9"/>
  <c r="P14" i="9"/>
  <c r="O14" i="9"/>
  <c r="M14" i="9"/>
  <c r="L14" i="9"/>
  <c r="K17" i="3" l="1"/>
  <c r="K25" i="3"/>
  <c r="J14" i="14"/>
  <c r="K22" i="16"/>
  <c r="J14" i="18"/>
  <c r="M43" i="3" l="1"/>
  <c r="K20" i="16"/>
  <c r="E29" i="10"/>
  <c r="E19" i="10"/>
  <c r="E16" i="10"/>
  <c r="K32" i="10"/>
  <c r="J23" i="16" l="1"/>
  <c r="K25" i="10"/>
  <c r="K36" i="3" l="1"/>
  <c r="K42" i="3"/>
  <c r="K38" i="3"/>
  <c r="K37" i="10"/>
  <c r="K17" i="12"/>
  <c r="K19" i="17"/>
  <c r="K19" i="12" l="1"/>
  <c r="M18" i="12"/>
  <c r="E19" i="12"/>
  <c r="G18" i="12"/>
  <c r="G19" i="12" s="1"/>
  <c r="H13" i="3" l="1"/>
  <c r="M13" i="3" s="1"/>
  <c r="G110" i="22" l="1"/>
  <c r="M17" i="12"/>
  <c r="G17" i="12"/>
  <c r="I19" i="12" l="1"/>
  <c r="K33" i="10"/>
  <c r="K36" i="10"/>
  <c r="K26" i="10"/>
  <c r="K38" i="17"/>
  <c r="I22" i="14" l="1"/>
  <c r="I10" i="14"/>
  <c r="J38" i="17"/>
  <c r="M39" i="3" l="1"/>
  <c r="M29" i="3"/>
  <c r="M45" i="3"/>
  <c r="M44" i="3"/>
  <c r="M42" i="3"/>
  <c r="M41" i="3"/>
  <c r="M40" i="3"/>
  <c r="M38" i="3"/>
  <c r="M37" i="3"/>
  <c r="M35" i="3"/>
  <c r="M34" i="3"/>
  <c r="M33" i="3"/>
  <c r="M32" i="3"/>
  <c r="M31" i="3"/>
  <c r="M30" i="3"/>
  <c r="K27" i="3"/>
  <c r="M36" i="3"/>
  <c r="M17" i="16"/>
  <c r="M21" i="16"/>
  <c r="K23" i="16"/>
  <c r="U21" i="9"/>
  <c r="U20" i="9"/>
  <c r="L19" i="9"/>
  <c r="J22" i="9"/>
  <c r="J21" i="9"/>
  <c r="J20" i="9"/>
  <c r="H19" i="9"/>
  <c r="K15" i="3"/>
  <c r="F15" i="3"/>
  <c r="G15" i="3"/>
  <c r="M12" i="3"/>
  <c r="H14" i="3"/>
  <c r="M14" i="3" s="1"/>
  <c r="H12" i="3"/>
  <c r="H24" i="17"/>
  <c r="M24" i="17" s="1"/>
  <c r="J10" i="17"/>
  <c r="J13" i="17" s="1"/>
  <c r="J80" i="17"/>
  <c r="J81" i="17"/>
  <c r="J82" i="17" s="1"/>
  <c r="H35" i="3"/>
  <c r="U48" i="9"/>
  <c r="L48" i="9"/>
  <c r="J48" i="9"/>
  <c r="F19" i="17"/>
  <c r="F38" i="17" s="1"/>
  <c r="I19" i="23"/>
  <c r="I18" i="23"/>
  <c r="I20" i="23"/>
  <c r="M27" i="3"/>
  <c r="J15" i="3"/>
  <c r="M9" i="16"/>
  <c r="J11" i="16"/>
  <c r="I20" i="18"/>
  <c r="J28" i="3" s="1"/>
  <c r="I19" i="13"/>
  <c r="I10" i="13"/>
  <c r="L18" i="13"/>
  <c r="L17" i="13"/>
  <c r="L16" i="13"/>
  <c r="L15" i="13"/>
  <c r="L14" i="13"/>
  <c r="L13" i="13"/>
  <c r="L12" i="13"/>
  <c r="I8" i="18"/>
  <c r="L17" i="18"/>
  <c r="L16" i="18"/>
  <c r="L15" i="18"/>
  <c r="L14" i="18"/>
  <c r="L13" i="18"/>
  <c r="L12" i="18"/>
  <c r="L11" i="18"/>
  <c r="L7" i="18"/>
  <c r="L10" i="18"/>
  <c r="P18" i="9"/>
  <c r="E14" i="14"/>
  <c r="G14" i="14" s="1"/>
  <c r="L14" i="14" s="1"/>
  <c r="E13" i="14"/>
  <c r="E22" i="14" s="1"/>
  <c r="E15" i="13"/>
  <c r="M36" i="10"/>
  <c r="M35" i="10"/>
  <c r="M34" i="10"/>
  <c r="M32" i="10"/>
  <c r="M31" i="10"/>
  <c r="M30" i="10"/>
  <c r="M28" i="10"/>
  <c r="M27" i="10"/>
  <c r="M26" i="10"/>
  <c r="M25" i="10"/>
  <c r="M23" i="10"/>
  <c r="M21" i="10"/>
  <c r="M20" i="10"/>
  <c r="M19" i="10"/>
  <c r="M17" i="10"/>
  <c r="M15" i="10"/>
  <c r="J37" i="10"/>
  <c r="J11" i="10"/>
  <c r="H20" i="10"/>
  <c r="H8" i="10"/>
  <c r="M8" i="10"/>
  <c r="C9" i="13"/>
  <c r="D17" i="3"/>
  <c r="T7" i="9"/>
  <c r="S7" i="9"/>
  <c r="R7" i="9"/>
  <c r="Q7" i="9"/>
  <c r="P7" i="9"/>
  <c r="O7" i="9"/>
  <c r="N7" i="9"/>
  <c r="M7" i="9"/>
  <c r="K7" i="9"/>
  <c r="I7" i="9"/>
  <c r="H7" i="9"/>
  <c r="G7" i="9"/>
  <c r="D7" i="9"/>
  <c r="W7" i="9"/>
  <c r="C11" i="9"/>
  <c r="E11" i="9"/>
  <c r="C10" i="9"/>
  <c r="E10" i="9"/>
  <c r="C6" i="9"/>
  <c r="E6" i="9"/>
  <c r="I14" i="23"/>
  <c r="E12" i="22"/>
  <c r="E23" i="22"/>
  <c r="E34" i="22"/>
  <c r="E46" i="22"/>
  <c r="E58" i="22"/>
  <c r="E69" i="22"/>
  <c r="E80" i="22"/>
  <c r="E91" i="22"/>
  <c r="E103" i="22"/>
  <c r="F11" i="9"/>
  <c r="S11" i="9"/>
  <c r="Q11" i="9"/>
  <c r="O11" i="9"/>
  <c r="M11" i="9"/>
  <c r="T11" i="9"/>
  <c r="R11" i="9"/>
  <c r="P11" i="9"/>
  <c r="N11" i="9"/>
  <c r="L11" i="9"/>
  <c r="T10" i="9"/>
  <c r="R10" i="9"/>
  <c r="P10" i="9"/>
  <c r="N10" i="9"/>
  <c r="L10" i="9"/>
  <c r="I13" i="23"/>
  <c r="F10" i="9"/>
  <c r="S10" i="9"/>
  <c r="Q10" i="9"/>
  <c r="O10" i="9"/>
  <c r="M10" i="9"/>
  <c r="E7" i="9"/>
  <c r="I9" i="23"/>
  <c r="I10" i="23"/>
  <c r="E9" i="22"/>
  <c r="G9" i="22"/>
  <c r="F6" i="9"/>
  <c r="C7" i="9"/>
  <c r="F7" i="9"/>
  <c r="G18" i="25"/>
  <c r="C17" i="25"/>
  <c r="C16" i="25"/>
  <c r="C15" i="25"/>
  <c r="C14" i="25"/>
  <c r="C13" i="25"/>
  <c r="C12" i="25"/>
  <c r="C11" i="25"/>
  <c r="C10" i="25"/>
  <c r="C9" i="25"/>
  <c r="G20" i="24"/>
  <c r="G22" i="24"/>
  <c r="E20" i="24"/>
  <c r="E22" i="24"/>
  <c r="C20" i="24"/>
  <c r="C22" i="24"/>
  <c r="H19" i="24"/>
  <c r="H18" i="24"/>
  <c r="H17" i="24"/>
  <c r="H16" i="24"/>
  <c r="H15" i="24"/>
  <c r="H14" i="24"/>
  <c r="H13" i="24"/>
  <c r="H12" i="24"/>
  <c r="H11" i="24"/>
  <c r="H20" i="24"/>
  <c r="C20" i="23"/>
  <c r="G19" i="23"/>
  <c r="G18" i="23"/>
  <c r="H17" i="23"/>
  <c r="G15" i="23"/>
  <c r="C15" i="23"/>
  <c r="G14" i="23"/>
  <c r="G13" i="23"/>
  <c r="H12" i="23"/>
  <c r="C10" i="23"/>
  <c r="H9" i="23"/>
  <c r="G9" i="23"/>
  <c r="G10" i="23"/>
  <c r="G107" i="22"/>
  <c r="G106" i="22"/>
  <c r="G108" i="22"/>
  <c r="G103" i="22"/>
  <c r="G95" i="22"/>
  <c r="G96" i="22"/>
  <c r="G94" i="22"/>
  <c r="G91" i="22"/>
  <c r="G84" i="22"/>
  <c r="G83" i="22"/>
  <c r="G85" i="22"/>
  <c r="G80" i="22"/>
  <c r="G73" i="22"/>
  <c r="G72" i="22"/>
  <c r="G74" i="22"/>
  <c r="G69" i="22"/>
  <c r="G62" i="22"/>
  <c r="G61" i="22"/>
  <c r="G58" i="22"/>
  <c r="G50" i="22"/>
  <c r="G49" i="22"/>
  <c r="G46" i="22"/>
  <c r="G38" i="22"/>
  <c r="G37" i="22"/>
  <c r="G39" i="22"/>
  <c r="G34" i="22"/>
  <c r="G27" i="22"/>
  <c r="G26" i="22"/>
  <c r="G28" i="22"/>
  <c r="G23" i="22"/>
  <c r="G12" i="22"/>
  <c r="I15" i="23"/>
  <c r="E11" i="22"/>
  <c r="C14" i="9"/>
  <c r="E15" i="22"/>
  <c r="G15" i="22"/>
  <c r="C15" i="9"/>
  <c r="E16" i="22"/>
  <c r="G16" i="22"/>
  <c r="G17" i="22"/>
  <c r="G63" i="22"/>
  <c r="G51" i="22"/>
  <c r="G20" i="23"/>
  <c r="E22" i="22"/>
  <c r="G11" i="22"/>
  <c r="G13" i="22"/>
  <c r="G18" i="22"/>
  <c r="E33" i="22"/>
  <c r="G22" i="22"/>
  <c r="G24" i="22"/>
  <c r="G29" i="22"/>
  <c r="E45" i="22"/>
  <c r="G33" i="22"/>
  <c r="G35" i="22"/>
  <c r="G40" i="22"/>
  <c r="H12" i="17"/>
  <c r="M12" i="17" s="1"/>
  <c r="H35" i="17"/>
  <c r="M35" i="17" s="1"/>
  <c r="H73" i="9"/>
  <c r="J72" i="9"/>
  <c r="L72" i="9"/>
  <c r="U72" i="9"/>
  <c r="J71" i="9"/>
  <c r="L71" i="9"/>
  <c r="U71" i="9"/>
  <c r="J70" i="9"/>
  <c r="L70" i="9"/>
  <c r="U70" i="9"/>
  <c r="H57" i="3"/>
  <c r="M57" i="3" s="1"/>
  <c r="H56" i="3"/>
  <c r="M56" i="3" s="1"/>
  <c r="H55" i="3"/>
  <c r="M55" i="3" s="1"/>
  <c r="E57" i="22"/>
  <c r="G45" i="22"/>
  <c r="G47" i="22"/>
  <c r="G52" i="22"/>
  <c r="E68" i="22"/>
  <c r="G57" i="22"/>
  <c r="G59" i="22"/>
  <c r="G64" i="22"/>
  <c r="G20" i="14"/>
  <c r="L20" i="14" s="1"/>
  <c r="E79" i="22"/>
  <c r="G68" i="22"/>
  <c r="G70" i="22"/>
  <c r="G75" i="22"/>
  <c r="M58" i="3"/>
  <c r="G16" i="12"/>
  <c r="M16" i="12" s="1"/>
  <c r="E90" i="22"/>
  <c r="G79" i="22"/>
  <c r="G81" i="22"/>
  <c r="G86" i="22"/>
  <c r="A4" i="10"/>
  <c r="E102" i="22"/>
  <c r="G102" i="22"/>
  <c r="G104" i="22"/>
  <c r="G109" i="22"/>
  <c r="G90" i="22"/>
  <c r="G92" i="22"/>
  <c r="G97" i="22"/>
  <c r="C37" i="10"/>
  <c r="H36" i="10"/>
  <c r="H35" i="10"/>
  <c r="H34" i="10"/>
  <c r="H33" i="10"/>
  <c r="M33" i="10" s="1"/>
  <c r="E32" i="10"/>
  <c r="H32" i="10"/>
  <c r="H31" i="10"/>
  <c r="H30" i="10"/>
  <c r="H29" i="10"/>
  <c r="M29" i="10" s="1"/>
  <c r="H28" i="10"/>
  <c r="H27" i="10"/>
  <c r="H26" i="10"/>
  <c r="H25" i="10"/>
  <c r="H24" i="10"/>
  <c r="M24" i="10" s="1"/>
  <c r="H23" i="10"/>
  <c r="F37" i="10"/>
  <c r="H21" i="10"/>
  <c r="H19" i="10"/>
  <c r="H18" i="10"/>
  <c r="M18" i="10" s="1"/>
  <c r="H17" i="10"/>
  <c r="H16" i="10"/>
  <c r="M16" i="10" s="1"/>
  <c r="H15" i="10"/>
  <c r="H12" i="10"/>
  <c r="M12" i="10"/>
  <c r="K11" i="10"/>
  <c r="K13" i="10"/>
  <c r="F11" i="10"/>
  <c r="H10" i="10"/>
  <c r="M10" i="10"/>
  <c r="E11" i="10"/>
  <c r="E13" i="10"/>
  <c r="H22" i="10"/>
  <c r="M22" i="10" s="1"/>
  <c r="E37" i="10"/>
  <c r="J69" i="9"/>
  <c r="L69" i="9"/>
  <c r="U69" i="9"/>
  <c r="J63" i="9"/>
  <c r="L63" i="9"/>
  <c r="U63" i="9"/>
  <c r="J57" i="9"/>
  <c r="L57" i="9"/>
  <c r="U57" i="9"/>
  <c r="J50" i="9"/>
  <c r="L50" i="9"/>
  <c r="U50" i="9"/>
  <c r="H36" i="17"/>
  <c r="M36" i="17" s="1"/>
  <c r="H34" i="17"/>
  <c r="M34" i="17" s="1"/>
  <c r="H33" i="17"/>
  <c r="M33" i="17" s="1"/>
  <c r="H32" i="17"/>
  <c r="M32" i="17"/>
  <c r="H31" i="17"/>
  <c r="M31" i="17" s="1"/>
  <c r="H30" i="17"/>
  <c r="M30" i="17" s="1"/>
  <c r="K11" i="16"/>
  <c r="H10" i="16"/>
  <c r="M10" i="16" s="1"/>
  <c r="H54" i="3"/>
  <c r="M54" i="3" s="1"/>
  <c r="H44" i="3"/>
  <c r="H37" i="3"/>
  <c r="H49" i="3"/>
  <c r="M49" i="3" s="1"/>
  <c r="H53" i="3"/>
  <c r="M53" i="3"/>
  <c r="H52" i="3"/>
  <c r="M52" i="3" s="1"/>
  <c r="L68" i="9"/>
  <c r="U68" i="9"/>
  <c r="L67" i="9"/>
  <c r="U67" i="9"/>
  <c r="J68" i="9"/>
  <c r="J67" i="9"/>
  <c r="L66" i="9"/>
  <c r="U66" i="9"/>
  <c r="J66" i="9"/>
  <c r="F73" i="9"/>
  <c r="J65" i="9"/>
  <c r="L65" i="9"/>
  <c r="U65" i="9"/>
  <c r="H55" i="15"/>
  <c r="L55" i="15"/>
  <c r="H54" i="15"/>
  <c r="L54" i="15"/>
  <c r="H53" i="15"/>
  <c r="L53" i="15"/>
  <c r="D38" i="17"/>
  <c r="D81" i="17" s="1"/>
  <c r="D82" i="17" s="1"/>
  <c r="H9" i="16"/>
  <c r="H51" i="3"/>
  <c r="M51" i="3"/>
  <c r="K10" i="17"/>
  <c r="K13" i="17" s="1"/>
  <c r="H9" i="17"/>
  <c r="M9" i="17" s="1"/>
  <c r="H48" i="3"/>
  <c r="M48" i="3"/>
  <c r="J62" i="9"/>
  <c r="L62" i="9"/>
  <c r="U62" i="9"/>
  <c r="L64" i="9"/>
  <c r="H50" i="3"/>
  <c r="M50" i="3" s="1"/>
  <c r="F10" i="17"/>
  <c r="F13" i="17" s="1"/>
  <c r="F11" i="16"/>
  <c r="D12" i="9"/>
  <c r="E12" i="9"/>
  <c r="G15" i="12"/>
  <c r="M15" i="12" s="1"/>
  <c r="G14" i="12"/>
  <c r="M14" i="12"/>
  <c r="G13" i="12"/>
  <c r="M13" i="12" s="1"/>
  <c r="H47" i="3"/>
  <c r="M47" i="3"/>
  <c r="F59" i="3"/>
  <c r="J64" i="9"/>
  <c r="J61" i="9"/>
  <c r="L61" i="9"/>
  <c r="J60" i="9"/>
  <c r="L60" i="9"/>
  <c r="J58" i="9"/>
  <c r="L58" i="9"/>
  <c r="U58" i="9"/>
  <c r="H45" i="3"/>
  <c r="H24" i="15"/>
  <c r="L24" i="15"/>
  <c r="H48" i="15"/>
  <c r="L48" i="15"/>
  <c r="H43" i="3"/>
  <c r="J56" i="9"/>
  <c r="L56" i="9"/>
  <c r="U56" i="9"/>
  <c r="H42" i="3"/>
  <c r="J55" i="9"/>
  <c r="L55" i="9"/>
  <c r="U55" i="9"/>
  <c r="H41" i="3"/>
  <c r="J54" i="9"/>
  <c r="L54" i="9"/>
  <c r="U54" i="9"/>
  <c r="K81" i="17"/>
  <c r="K82" i="17" s="1"/>
  <c r="G12" i="12"/>
  <c r="M12" i="12" s="1"/>
  <c r="H40" i="3"/>
  <c r="H39" i="3"/>
  <c r="H46" i="3"/>
  <c r="M46" i="3" s="1"/>
  <c r="H36" i="3"/>
  <c r="G13" i="18"/>
  <c r="G14" i="18"/>
  <c r="G12" i="18"/>
  <c r="E19" i="13"/>
  <c r="A4" i="18"/>
  <c r="J20" i="18"/>
  <c r="K28" i="3" s="1"/>
  <c r="K59" i="3" s="1"/>
  <c r="C20" i="18"/>
  <c r="G19" i="18"/>
  <c r="L19" i="18"/>
  <c r="E18" i="18"/>
  <c r="G18" i="18"/>
  <c r="L18" i="18"/>
  <c r="G17" i="18"/>
  <c r="G16" i="18"/>
  <c r="G15" i="18"/>
  <c r="G10" i="18"/>
  <c r="J8" i="18"/>
  <c r="E8" i="18"/>
  <c r="C8" i="18"/>
  <c r="G7" i="18"/>
  <c r="L8" i="18"/>
  <c r="A4" i="17"/>
  <c r="M85" i="17"/>
  <c r="K85" i="17"/>
  <c r="F85" i="17"/>
  <c r="H84" i="17"/>
  <c r="K80" i="17"/>
  <c r="F80" i="17"/>
  <c r="D80" i="17"/>
  <c r="H79" i="17"/>
  <c r="M79" i="17" s="1"/>
  <c r="H78" i="17"/>
  <c r="M78" i="17" s="1"/>
  <c r="H77" i="17"/>
  <c r="M77" i="17" s="1"/>
  <c r="H76" i="17"/>
  <c r="M76" i="17" s="1"/>
  <c r="H75" i="17"/>
  <c r="M75" i="17" s="1"/>
  <c r="H74" i="17"/>
  <c r="M74" i="17" s="1"/>
  <c r="H73" i="17"/>
  <c r="M73" i="17" s="1"/>
  <c r="H72" i="17"/>
  <c r="M72" i="17" s="1"/>
  <c r="H69" i="17"/>
  <c r="M69" i="17" s="1"/>
  <c r="H68" i="17"/>
  <c r="M68" i="17" s="1"/>
  <c r="H71" i="17"/>
  <c r="M71" i="17" s="1"/>
  <c r="H70" i="17"/>
  <c r="M70" i="17" s="1"/>
  <c r="H67" i="17"/>
  <c r="M67" i="17" s="1"/>
  <c r="H66" i="17"/>
  <c r="M66" i="17" s="1"/>
  <c r="H65" i="17"/>
  <c r="M65" i="17" s="1"/>
  <c r="H64" i="17"/>
  <c r="M64" i="17" s="1"/>
  <c r="H63" i="17"/>
  <c r="M63" i="17" s="1"/>
  <c r="H62" i="17"/>
  <c r="M62" i="17" s="1"/>
  <c r="H61" i="17"/>
  <c r="M61" i="17" s="1"/>
  <c r="H60" i="17"/>
  <c r="M60" i="17" s="1"/>
  <c r="H59" i="17"/>
  <c r="M59" i="17" s="1"/>
  <c r="H58" i="17"/>
  <c r="M58" i="17" s="1"/>
  <c r="H57" i="17"/>
  <c r="M57" i="17" s="1"/>
  <c r="H56" i="17"/>
  <c r="M56" i="17" s="1"/>
  <c r="H55" i="17"/>
  <c r="M55" i="17" s="1"/>
  <c r="H54" i="17"/>
  <c r="M54" i="17" s="1"/>
  <c r="H53" i="17"/>
  <c r="M53" i="17" s="1"/>
  <c r="H52" i="17"/>
  <c r="M52" i="17" s="1"/>
  <c r="H51" i="17"/>
  <c r="M51" i="17" s="1"/>
  <c r="H50" i="17"/>
  <c r="M50" i="17" s="1"/>
  <c r="H49" i="17"/>
  <c r="M49" i="17" s="1"/>
  <c r="H48" i="17"/>
  <c r="M48" i="17" s="1"/>
  <c r="H47" i="17"/>
  <c r="M47" i="17" s="1"/>
  <c r="H46" i="17"/>
  <c r="M46" i="17" s="1"/>
  <c r="H45" i="17"/>
  <c r="M45" i="17" s="1"/>
  <c r="H44" i="17"/>
  <c r="M44" i="17" s="1"/>
  <c r="H43" i="17"/>
  <c r="M43" i="17" s="1"/>
  <c r="H42" i="17"/>
  <c r="M42" i="17" s="1"/>
  <c r="H41" i="17"/>
  <c r="M41" i="17" s="1"/>
  <c r="H40" i="17"/>
  <c r="M40" i="17" s="1"/>
  <c r="H29" i="17"/>
  <c r="M29" i="17" s="1"/>
  <c r="H28" i="17"/>
  <c r="M28" i="17" s="1"/>
  <c r="H27" i="17"/>
  <c r="M27" i="17" s="1"/>
  <c r="H26" i="17"/>
  <c r="M26" i="17" s="1"/>
  <c r="H25" i="17"/>
  <c r="M25" i="17" s="1"/>
  <c r="H23" i="17"/>
  <c r="M23" i="17" s="1"/>
  <c r="H22" i="17"/>
  <c r="M22" i="17" s="1"/>
  <c r="H21" i="17"/>
  <c r="M21" i="17" s="1"/>
  <c r="H20" i="17"/>
  <c r="M20" i="17" s="1"/>
  <c r="H18" i="17"/>
  <c r="M18" i="17" s="1"/>
  <c r="H17" i="17"/>
  <c r="M17" i="17" s="1"/>
  <c r="H16" i="17"/>
  <c r="M16" i="17" s="1"/>
  <c r="H11" i="17"/>
  <c r="M11" i="17" s="1"/>
  <c r="D23" i="16"/>
  <c r="A4" i="16"/>
  <c r="F23" i="16"/>
  <c r="H22" i="16"/>
  <c r="M22" i="16" s="1"/>
  <c r="H21" i="16"/>
  <c r="H20" i="16"/>
  <c r="M20" i="16" s="1"/>
  <c r="H19" i="16"/>
  <c r="M19" i="16" s="1"/>
  <c r="H18" i="16"/>
  <c r="M18" i="16" s="1"/>
  <c r="H17" i="16"/>
  <c r="H16" i="16"/>
  <c r="M16" i="16" s="1"/>
  <c r="H15" i="16"/>
  <c r="M15" i="16" s="1"/>
  <c r="H14" i="16"/>
  <c r="M14" i="16" s="1"/>
  <c r="H13" i="16"/>
  <c r="M13" i="16" s="1"/>
  <c r="A4" i="15"/>
  <c r="F62" i="15"/>
  <c r="D58" i="15"/>
  <c r="J57" i="15"/>
  <c r="J58" i="15"/>
  <c r="F57" i="15"/>
  <c r="F58" i="15"/>
  <c r="H56" i="15"/>
  <c r="H52" i="15"/>
  <c r="L52" i="15"/>
  <c r="H51" i="15"/>
  <c r="L51" i="15"/>
  <c r="H50" i="15"/>
  <c r="L50" i="15"/>
  <c r="H49" i="15"/>
  <c r="H47" i="15"/>
  <c r="L47" i="15"/>
  <c r="H46" i="15"/>
  <c r="L46" i="15"/>
  <c r="H45" i="15"/>
  <c r="L45" i="15"/>
  <c r="H44" i="15"/>
  <c r="L44" i="15"/>
  <c r="H43" i="15"/>
  <c r="L43" i="15"/>
  <c r="H42" i="15"/>
  <c r="L42" i="15"/>
  <c r="H41" i="15"/>
  <c r="L41" i="15"/>
  <c r="H40" i="15"/>
  <c r="L40" i="15"/>
  <c r="H39" i="15"/>
  <c r="L39" i="15"/>
  <c r="H38" i="15"/>
  <c r="L38" i="15"/>
  <c r="H37" i="15"/>
  <c r="L37" i="15"/>
  <c r="H36" i="15"/>
  <c r="L36" i="15"/>
  <c r="H35" i="15"/>
  <c r="L35" i="15"/>
  <c r="H34" i="15"/>
  <c r="L34" i="15"/>
  <c r="H33" i="15"/>
  <c r="L33" i="15"/>
  <c r="H32" i="15"/>
  <c r="L32" i="15"/>
  <c r="H31" i="15"/>
  <c r="L31" i="15"/>
  <c r="H30" i="15"/>
  <c r="L30" i="15"/>
  <c r="H29" i="15"/>
  <c r="L29" i="15"/>
  <c r="H28" i="15"/>
  <c r="L28" i="15"/>
  <c r="H27" i="15"/>
  <c r="L27" i="15"/>
  <c r="H26" i="15"/>
  <c r="L26" i="15"/>
  <c r="H25" i="15"/>
  <c r="L25" i="15"/>
  <c r="H23" i="15"/>
  <c r="L23" i="15"/>
  <c r="H22" i="15"/>
  <c r="L22" i="15"/>
  <c r="H21" i="15"/>
  <c r="L21" i="15"/>
  <c r="H20" i="15"/>
  <c r="L20" i="15"/>
  <c r="H19" i="15"/>
  <c r="L19" i="15"/>
  <c r="H18" i="15"/>
  <c r="L18" i="15"/>
  <c r="H17" i="15"/>
  <c r="L17" i="15"/>
  <c r="H16" i="15"/>
  <c r="L16" i="15"/>
  <c r="H15" i="15"/>
  <c r="L15" i="15"/>
  <c r="H14" i="15"/>
  <c r="L14" i="15"/>
  <c r="H13" i="15"/>
  <c r="L13" i="15"/>
  <c r="H12" i="15"/>
  <c r="H11" i="15"/>
  <c r="L11" i="15"/>
  <c r="J9" i="15"/>
  <c r="F9" i="15"/>
  <c r="A4" i="14"/>
  <c r="E29" i="14"/>
  <c r="J22" i="14"/>
  <c r="J27" i="14" s="1"/>
  <c r="C22" i="14"/>
  <c r="G21" i="14"/>
  <c r="L21" i="14" s="1"/>
  <c r="G19" i="14"/>
  <c r="L19" i="14" s="1"/>
  <c r="G18" i="14"/>
  <c r="L18" i="14" s="1"/>
  <c r="G17" i="14"/>
  <c r="L17" i="14" s="1"/>
  <c r="G16" i="14"/>
  <c r="L16" i="14" s="1"/>
  <c r="G15" i="14"/>
  <c r="L15" i="14" s="1"/>
  <c r="G12" i="14"/>
  <c r="L12" i="14" s="1"/>
  <c r="J10" i="14"/>
  <c r="E10" i="14"/>
  <c r="G9" i="14"/>
  <c r="L9" i="14" s="1"/>
  <c r="A4" i="13"/>
  <c r="J19" i="13"/>
  <c r="C19" i="13"/>
  <c r="G18" i="13"/>
  <c r="G17" i="13"/>
  <c r="G16" i="13"/>
  <c r="G15" i="13"/>
  <c r="G14" i="13"/>
  <c r="G13" i="13"/>
  <c r="G12" i="13"/>
  <c r="J10" i="13"/>
  <c r="E10" i="13"/>
  <c r="G9" i="13"/>
  <c r="L9" i="13"/>
  <c r="A4" i="12"/>
  <c r="C19" i="12"/>
  <c r="G11" i="12"/>
  <c r="M11" i="12" s="1"/>
  <c r="K9" i="12"/>
  <c r="E9" i="12"/>
  <c r="A4" i="11"/>
  <c r="I13" i="11"/>
  <c r="E13" i="11"/>
  <c r="C13" i="11"/>
  <c r="K12" i="11"/>
  <c r="K11" i="11"/>
  <c r="G11" i="11"/>
  <c r="I9" i="11"/>
  <c r="E9" i="11"/>
  <c r="E20" i="18"/>
  <c r="G13" i="11"/>
  <c r="L56" i="15"/>
  <c r="H57" i="15"/>
  <c r="H58" i="15"/>
  <c r="R73" i="9"/>
  <c r="L49" i="15"/>
  <c r="L12" i="15"/>
  <c r="C21" i="18"/>
  <c r="G8" i="18"/>
  <c r="G11" i="18"/>
  <c r="G19" i="13"/>
  <c r="P73" i="9"/>
  <c r="A4" i="3"/>
  <c r="H38" i="3"/>
  <c r="H34" i="3"/>
  <c r="H32" i="3"/>
  <c r="H31" i="3"/>
  <c r="H30" i="3"/>
  <c r="H29" i="3"/>
  <c r="H28" i="3"/>
  <c r="H27" i="3"/>
  <c r="H17" i="3"/>
  <c r="M17" i="3"/>
  <c r="H11" i="3"/>
  <c r="M11" i="3"/>
  <c r="H10" i="3"/>
  <c r="M10" i="3"/>
  <c r="L57" i="15"/>
  <c r="L58" i="15"/>
  <c r="G20" i="18"/>
  <c r="G21" i="18"/>
  <c r="K75" i="9"/>
  <c r="K76" i="9"/>
  <c r="I75" i="9"/>
  <c r="I76" i="9"/>
  <c r="G75" i="9"/>
  <c r="W73" i="9"/>
  <c r="U64" i="9"/>
  <c r="V64" i="9"/>
  <c r="U61" i="9"/>
  <c r="U60" i="9"/>
  <c r="J59" i="9"/>
  <c r="L59" i="9"/>
  <c r="U59" i="9"/>
  <c r="J53" i="9"/>
  <c r="L53" i="9"/>
  <c r="U53" i="9"/>
  <c r="J52" i="9"/>
  <c r="L52" i="9"/>
  <c r="U52" i="9"/>
  <c r="U51" i="9"/>
  <c r="J51" i="9"/>
  <c r="L51" i="9"/>
  <c r="J49" i="9"/>
  <c r="L49" i="9"/>
  <c r="U49" i="9"/>
  <c r="J47" i="9"/>
  <c r="J46" i="9"/>
  <c r="J45" i="9"/>
  <c r="J44" i="9"/>
  <c r="J43" i="9"/>
  <c r="J42" i="9"/>
  <c r="L42" i="9"/>
  <c r="U42" i="9"/>
  <c r="J41" i="9"/>
  <c r="L41" i="9"/>
  <c r="U41" i="9"/>
  <c r="J40" i="9"/>
  <c r="L40" i="9"/>
  <c r="U40" i="9"/>
  <c r="J39" i="9"/>
  <c r="L39" i="9"/>
  <c r="U39" i="9"/>
  <c r="J38" i="9"/>
  <c r="L38" i="9"/>
  <c r="U38" i="9"/>
  <c r="J37" i="9"/>
  <c r="L37" i="9"/>
  <c r="U37" i="9"/>
  <c r="J36" i="9"/>
  <c r="J35" i="9"/>
  <c r="J34" i="9"/>
  <c r="J33" i="9"/>
  <c r="J32" i="9"/>
  <c r="J31" i="9"/>
  <c r="J30" i="9"/>
  <c r="J29" i="9"/>
  <c r="J28" i="9"/>
  <c r="J27" i="9"/>
  <c r="U26" i="9"/>
  <c r="J26" i="9"/>
  <c r="U22" i="9"/>
  <c r="U19" i="9"/>
  <c r="J19" i="9"/>
  <c r="U18" i="9"/>
  <c r="J18" i="9"/>
  <c r="K17" i="9"/>
  <c r="K23" i="9"/>
  <c r="I17" i="9"/>
  <c r="I23" i="9"/>
  <c r="W16" i="9"/>
  <c r="W12" i="9"/>
  <c r="W17" i="9"/>
  <c r="W23" i="9"/>
  <c r="W74" i="9"/>
  <c r="H12" i="9"/>
  <c r="J11" i="9"/>
  <c r="J6" i="9"/>
  <c r="J7" i="9"/>
  <c r="J73" i="9"/>
  <c r="E14" i="9"/>
  <c r="F14" i="9" s="1"/>
  <c r="S12" i="9"/>
  <c r="D7" i="16"/>
  <c r="H7" i="16" s="1"/>
  <c r="V61" i="9"/>
  <c r="L6" i="9"/>
  <c r="L7" i="9"/>
  <c r="D7" i="3"/>
  <c r="W75" i="9"/>
  <c r="L27" i="9"/>
  <c r="D18" i="3"/>
  <c r="H18" i="3" s="1"/>
  <c r="M18" i="3" s="1"/>
  <c r="L28" i="9"/>
  <c r="L29" i="9"/>
  <c r="L30" i="9"/>
  <c r="L31" i="9"/>
  <c r="L32" i="9"/>
  <c r="D23" i="3"/>
  <c r="H23" i="3" s="1"/>
  <c r="M23" i="3" s="1"/>
  <c r="L33" i="9"/>
  <c r="L34" i="9"/>
  <c r="L35" i="9"/>
  <c r="L36" i="9"/>
  <c r="U36" i="9"/>
  <c r="V36" i="9"/>
  <c r="V39" i="9"/>
  <c r="V40" i="9"/>
  <c r="L43" i="9"/>
  <c r="U43" i="9"/>
  <c r="V43" i="9"/>
  <c r="L44" i="9"/>
  <c r="U44" i="9"/>
  <c r="V44" i="9"/>
  <c r="L45" i="9"/>
  <c r="U45" i="9"/>
  <c r="V45" i="9"/>
  <c r="L46" i="9"/>
  <c r="U46" i="9"/>
  <c r="V46" i="9"/>
  <c r="L47" i="9"/>
  <c r="U47" i="9"/>
  <c r="V47" i="9"/>
  <c r="Q12" i="9"/>
  <c r="C7" i="14"/>
  <c r="G7" i="14"/>
  <c r="L7" i="14"/>
  <c r="C12" i="9"/>
  <c r="C16" i="9"/>
  <c r="V26" i="9"/>
  <c r="O12" i="9"/>
  <c r="C7" i="12"/>
  <c r="G7" i="12" s="1"/>
  <c r="H7" i="3"/>
  <c r="U30" i="9"/>
  <c r="V30" i="9"/>
  <c r="D21" i="3"/>
  <c r="H21" i="3"/>
  <c r="M21" i="3"/>
  <c r="U33" i="9"/>
  <c r="V33" i="9"/>
  <c r="D24" i="3"/>
  <c r="H24" i="3"/>
  <c r="M24" i="3" s="1"/>
  <c r="U29" i="9"/>
  <c r="V29" i="9"/>
  <c r="D20" i="3"/>
  <c r="H20" i="3" s="1"/>
  <c r="M20" i="3" s="1"/>
  <c r="U35" i="9"/>
  <c r="V35" i="9"/>
  <c r="D26" i="3"/>
  <c r="H26" i="3"/>
  <c r="M26" i="3" s="1"/>
  <c r="U31" i="9"/>
  <c r="V31" i="9"/>
  <c r="D22" i="3"/>
  <c r="H22" i="3" s="1"/>
  <c r="M22" i="3" s="1"/>
  <c r="U28" i="9"/>
  <c r="V28" i="9"/>
  <c r="D19" i="3"/>
  <c r="H19" i="3" s="1"/>
  <c r="M19" i="3" s="1"/>
  <c r="U34" i="9"/>
  <c r="V34" i="9"/>
  <c r="D25" i="3"/>
  <c r="L73" i="9"/>
  <c r="E15" i="9"/>
  <c r="O16" i="9"/>
  <c r="H16" i="9"/>
  <c r="H17" i="9" s="1"/>
  <c r="H23" i="9" s="1"/>
  <c r="H74" i="9" s="1"/>
  <c r="D16" i="9"/>
  <c r="U32" i="9"/>
  <c r="N12" i="9"/>
  <c r="C7" i="11"/>
  <c r="G7" i="11"/>
  <c r="K7" i="11"/>
  <c r="P12" i="9"/>
  <c r="C7" i="13"/>
  <c r="G7" i="13"/>
  <c r="L7" i="13"/>
  <c r="U11" i="9"/>
  <c r="V11" i="9"/>
  <c r="M12" i="9"/>
  <c r="C7" i="10"/>
  <c r="H7" i="10"/>
  <c r="M7" i="10"/>
  <c r="R12" i="9"/>
  <c r="D7" i="15"/>
  <c r="H7" i="15"/>
  <c r="L7" i="15"/>
  <c r="T12" i="9"/>
  <c r="D7" i="17"/>
  <c r="J10" i="9"/>
  <c r="F12" i="9"/>
  <c r="L12" i="9"/>
  <c r="D8" i="3"/>
  <c r="H8" i="3" s="1"/>
  <c r="U10" i="9"/>
  <c r="U6" i="9"/>
  <c r="U7" i="9"/>
  <c r="U27" i="9"/>
  <c r="M7" i="3"/>
  <c r="U73" i="9"/>
  <c r="F15" i="9"/>
  <c r="J15" i="9"/>
  <c r="H25" i="3"/>
  <c r="M25" i="3"/>
  <c r="V7" i="9"/>
  <c r="N16" i="9"/>
  <c r="C8" i="11" s="1"/>
  <c r="V32" i="9"/>
  <c r="U12" i="9"/>
  <c r="V27" i="9"/>
  <c r="V10" i="9"/>
  <c r="J12" i="9"/>
  <c r="U15" i="9"/>
  <c r="V73" i="9"/>
  <c r="V12" i="9"/>
  <c r="N73" i="9" l="1"/>
  <c r="G14" i="11"/>
  <c r="N79" i="9" s="1"/>
  <c r="D14" i="25"/>
  <c r="E14" i="25" s="1"/>
  <c r="C18" i="25"/>
  <c r="P16" i="9"/>
  <c r="P17" i="9" s="1"/>
  <c r="M16" i="9"/>
  <c r="M17" i="9" s="1"/>
  <c r="C8" i="12"/>
  <c r="G8" i="12" s="1"/>
  <c r="M8" i="12" s="1"/>
  <c r="O17" i="9"/>
  <c r="F16" i="9"/>
  <c r="F17" i="9" s="1"/>
  <c r="F23" i="9" s="1"/>
  <c r="F74" i="9" s="1"/>
  <c r="J14" i="9"/>
  <c r="G8" i="11"/>
  <c r="C9" i="11"/>
  <c r="C14" i="11" s="1"/>
  <c r="C8" i="13"/>
  <c r="C9" i="10"/>
  <c r="L16" i="9"/>
  <c r="N17" i="9"/>
  <c r="E16" i="9"/>
  <c r="R16" i="9"/>
  <c r="Q16" i="9"/>
  <c r="J16" i="9"/>
  <c r="J17" i="9" s="1"/>
  <c r="J23" i="9" s="1"/>
  <c r="J74" i="9" s="1"/>
  <c r="J75" i="9" s="1"/>
  <c r="T16" i="9"/>
  <c r="S16" i="9"/>
  <c r="V15" i="9"/>
  <c r="H75" i="9"/>
  <c r="H76" i="9" s="1"/>
  <c r="K13" i="11"/>
  <c r="M7" i="16"/>
  <c r="H23" i="16"/>
  <c r="S73" i="9" s="1"/>
  <c r="H37" i="10"/>
  <c r="M73" i="9" s="1"/>
  <c r="M19" i="12"/>
  <c r="K28" i="16"/>
  <c r="M8" i="3"/>
  <c r="D59" i="3"/>
  <c r="H59" i="3"/>
  <c r="H7" i="17"/>
  <c r="F81" i="17"/>
  <c r="F82" i="17" s="1"/>
  <c r="H80" i="17"/>
  <c r="M80" i="17"/>
  <c r="H19" i="17"/>
  <c r="M19" i="17" s="1"/>
  <c r="M38" i="17" s="1"/>
  <c r="H38" i="17"/>
  <c r="O73" i="9"/>
  <c r="L19" i="13"/>
  <c r="M23" i="16"/>
  <c r="M7" i="12"/>
  <c r="M37" i="10"/>
  <c r="G13" i="14"/>
  <c r="L13" i="14" s="1"/>
  <c r="L22" i="14" s="1"/>
  <c r="G22" i="14"/>
  <c r="Q73" i="9" s="1"/>
  <c r="L20" i="18"/>
  <c r="J59" i="3"/>
  <c r="M28" i="3"/>
  <c r="M59" i="3" s="1"/>
  <c r="D15" i="25" l="1"/>
  <c r="E15" i="25" s="1"/>
  <c r="D11" i="25"/>
  <c r="E11" i="25" s="1"/>
  <c r="D13" i="25"/>
  <c r="E13" i="25" s="1"/>
  <c r="D9" i="25"/>
  <c r="E9" i="25" s="1"/>
  <c r="E18" i="25" s="1"/>
  <c r="D17" i="25"/>
  <c r="E17" i="25" s="1"/>
  <c r="D10" i="25"/>
  <c r="E10" i="25" s="1"/>
  <c r="D16" i="25"/>
  <c r="E16" i="25" s="1"/>
  <c r="D12" i="25"/>
  <c r="E12" i="25" s="1"/>
  <c r="M9" i="12"/>
  <c r="C9" i="12"/>
  <c r="C20" i="12" s="1"/>
  <c r="G9" i="12"/>
  <c r="G20" i="12" s="1"/>
  <c r="O79" i="9" s="1"/>
  <c r="L17" i="9"/>
  <c r="D9" i="3"/>
  <c r="F75" i="9"/>
  <c r="F76" i="9"/>
  <c r="D8" i="16"/>
  <c r="S17" i="9"/>
  <c r="H9" i="10"/>
  <c r="C11" i="10"/>
  <c r="C13" i="10" s="1"/>
  <c r="C38" i="10" s="1"/>
  <c r="U14" i="9"/>
  <c r="U16" i="9" s="1"/>
  <c r="T17" i="9"/>
  <c r="D8" i="17"/>
  <c r="M23" i="9"/>
  <c r="M74" i="9" s="1"/>
  <c r="M75" i="9" s="1"/>
  <c r="M76" i="9" s="1"/>
  <c r="G9" i="11"/>
  <c r="K8" i="11"/>
  <c r="K9" i="11" s="1"/>
  <c r="O23" i="9"/>
  <c r="O74" i="9" s="1"/>
  <c r="C8" i="14"/>
  <c r="Q17" i="9"/>
  <c r="G8" i="13"/>
  <c r="C10" i="13"/>
  <c r="C20" i="13" s="1"/>
  <c r="D8" i="15"/>
  <c r="R17" i="9"/>
  <c r="N23" i="9"/>
  <c r="N74" i="9" s="1"/>
  <c r="N81" i="9" s="1"/>
  <c r="P23" i="9"/>
  <c r="P74" i="9" s="1"/>
  <c r="J76" i="9"/>
  <c r="H81" i="17"/>
  <c r="H82" i="17" s="1"/>
  <c r="T73" i="9" s="1"/>
  <c r="M7" i="17"/>
  <c r="M81" i="17"/>
  <c r="M82" i="17" s="1"/>
  <c r="O81" i="9" l="1"/>
  <c r="N75" i="9"/>
  <c r="N76" i="9" s="1"/>
  <c r="V14" i="9"/>
  <c r="P75" i="9"/>
  <c r="P76" i="9" s="1"/>
  <c r="L23" i="9"/>
  <c r="L74" i="9" s="1"/>
  <c r="Q23" i="9"/>
  <c r="Q74" i="9" s="1"/>
  <c r="Q75" i="9" s="1"/>
  <c r="Q76" i="9" s="1"/>
  <c r="H8" i="17"/>
  <c r="D10" i="17"/>
  <c r="D13" i="17" s="1"/>
  <c r="D83" i="17" s="1"/>
  <c r="D85" i="17" s="1"/>
  <c r="D9" i="15"/>
  <c r="D59" i="15" s="1"/>
  <c r="H8" i="15"/>
  <c r="C10" i="14"/>
  <c r="C23" i="14" s="1"/>
  <c r="G8" i="14"/>
  <c r="T23" i="9"/>
  <c r="T74" i="9" s="1"/>
  <c r="T75" i="9" s="1"/>
  <c r="T76" i="9" s="1"/>
  <c r="S23" i="9"/>
  <c r="S74" i="9" s="1"/>
  <c r="S75" i="9" s="1"/>
  <c r="S76" i="9" s="1"/>
  <c r="L8" i="13"/>
  <c r="L10" i="13" s="1"/>
  <c r="G10" i="13"/>
  <c r="G20" i="13" s="1"/>
  <c r="P79" i="9" s="1"/>
  <c r="P81" i="9" s="1"/>
  <c r="R23" i="9"/>
  <c r="R74" i="9" s="1"/>
  <c r="M9" i="10"/>
  <c r="M11" i="10" s="1"/>
  <c r="M13" i="10" s="1"/>
  <c r="H11" i="10"/>
  <c r="H13" i="10" s="1"/>
  <c r="H38" i="10" s="1"/>
  <c r="M79" i="9" s="1"/>
  <c r="M81" i="9" s="1"/>
  <c r="U17" i="9"/>
  <c r="Q8" i="9" s="1"/>
  <c r="V16" i="9"/>
  <c r="V17" i="9" s="1"/>
  <c r="V23" i="9" s="1"/>
  <c r="V74" i="9" s="1"/>
  <c r="V75" i="9" s="1"/>
  <c r="H8" i="16"/>
  <c r="D11" i="16"/>
  <c r="D24" i="16" s="1"/>
  <c r="D15" i="3"/>
  <c r="D60" i="3" s="1"/>
  <c r="H9" i="3"/>
  <c r="O75" i="9"/>
  <c r="O76" i="9" s="1"/>
  <c r="R8" i="9" l="1"/>
  <c r="S8" i="9"/>
  <c r="M8" i="17"/>
  <c r="M10" i="17" s="1"/>
  <c r="M13" i="17" s="1"/>
  <c r="H10" i="17"/>
  <c r="H13" i="17" s="1"/>
  <c r="H83" i="17" s="1"/>
  <c r="T79" i="9" s="1"/>
  <c r="T81" i="9" s="1"/>
  <c r="L8" i="9"/>
  <c r="M8" i="16"/>
  <c r="M11" i="16" s="1"/>
  <c r="H11" i="16"/>
  <c r="H24" i="16" s="1"/>
  <c r="S79" i="9" s="1"/>
  <c r="S81" i="9" s="1"/>
  <c r="T8" i="9"/>
  <c r="H9" i="15"/>
  <c r="H59" i="15" s="1"/>
  <c r="R79" i="9" s="1"/>
  <c r="R81" i="9" s="1"/>
  <c r="L8" i="15"/>
  <c r="L9" i="15" s="1"/>
  <c r="U23" i="9"/>
  <c r="U74" i="9" s="1"/>
  <c r="O8" i="9"/>
  <c r="N8" i="9"/>
  <c r="M8" i="9"/>
  <c r="P8" i="9"/>
  <c r="R75" i="9"/>
  <c r="R76" i="9" s="1"/>
  <c r="L8" i="14"/>
  <c r="L10" i="14" s="1"/>
  <c r="G10" i="14"/>
  <c r="G23" i="14" s="1"/>
  <c r="Q79" i="9" s="1"/>
  <c r="Q81" i="9" s="1"/>
  <c r="L75" i="9"/>
  <c r="L76" i="9" s="1"/>
  <c r="U77" i="9"/>
  <c r="M9" i="3"/>
  <c r="M15" i="3" s="1"/>
  <c r="H15" i="3"/>
  <c r="H60" i="3" s="1"/>
  <c r="L79" i="9" s="1"/>
  <c r="L81" i="9" s="1"/>
  <c r="U76" i="9" l="1"/>
  <c r="U75" i="9"/>
  <c r="H85" i="17"/>
</calcChain>
</file>

<file path=xl/comments1.xml><?xml version="1.0" encoding="utf-8"?>
<comments xmlns="http://schemas.openxmlformats.org/spreadsheetml/2006/main">
  <authors>
    <author>Sandra Delacruz</author>
    <author>Suzette Foster-Jemmott</author>
  </authors>
  <commentList>
    <comment ref="K17" authorId="0" shapeId="0">
      <text>
        <r>
          <rPr>
            <b/>
            <sz val="9"/>
            <color indexed="81"/>
            <rFont val="Tahoma"/>
            <family val="2"/>
          </rPr>
          <t>Sandra Delacruz:</t>
        </r>
        <r>
          <rPr>
            <sz val="9"/>
            <color indexed="81"/>
            <rFont val="Tahoma"/>
            <family val="2"/>
          </rPr>
          <t xml:space="preserve">
Blackbaud
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</rPr>
          <t>Sandra Delacruz:</t>
        </r>
        <r>
          <rPr>
            <sz val="9"/>
            <color indexed="81"/>
            <rFont val="Tahoma"/>
            <family val="2"/>
          </rPr>
          <t xml:space="preserve">
Affordable Care Act
</t>
        </r>
      </text>
    </comment>
    <comment ref="K25" authorId="1" shapeId="0">
      <text>
        <r>
          <rPr>
            <b/>
            <sz val="9"/>
            <color indexed="81"/>
            <rFont val="Tahoma"/>
            <family val="2"/>
          </rPr>
          <t>Suzette Foster-Jemmott: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" authorId="1" shapeId="0">
      <text>
        <r>
          <rPr>
            <b/>
            <sz val="9"/>
            <color indexed="81"/>
            <rFont val="Tahoma"/>
            <family val="2"/>
          </rPr>
          <t>Suzette Foster-Jemmott:</t>
        </r>
        <r>
          <rPr>
            <sz val="9"/>
            <color indexed="81"/>
            <rFont val="Tahoma"/>
            <family val="2"/>
          </rPr>
          <t xml:space="preserve">
BiggerFish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Sandra Delacruz:</t>
        </r>
        <r>
          <rPr>
            <sz val="9"/>
            <color indexed="81"/>
            <rFont val="Tahoma"/>
            <family val="2"/>
          </rPr>
          <t xml:space="preserve">
commencement has been canceelled due to COVID19
</t>
        </r>
      </text>
    </comment>
  </commentList>
</comments>
</file>

<file path=xl/sharedStrings.xml><?xml version="1.0" encoding="utf-8"?>
<sst xmlns="http://schemas.openxmlformats.org/spreadsheetml/2006/main" count="624" uniqueCount="300">
  <si>
    <t>Summer</t>
  </si>
  <si>
    <t>Student Government</t>
  </si>
  <si>
    <t>York College Association, Inc</t>
  </si>
  <si>
    <t>Semesters</t>
  </si>
  <si>
    <t>Initial Budget</t>
  </si>
  <si>
    <t>Adjustment</t>
  </si>
  <si>
    <t>Adjusted Budget</t>
  </si>
  <si>
    <t>Budget Committee</t>
  </si>
  <si>
    <t>Athletic Department</t>
  </si>
  <si>
    <t>Child &amp; Family Center</t>
  </si>
  <si>
    <t>Study/Away/Aboard Fund</t>
  </si>
  <si>
    <t>Game Room</t>
  </si>
  <si>
    <t>YC Radio Station</t>
  </si>
  <si>
    <t>A.P.A.F.</t>
  </si>
  <si>
    <t>Student Clubs</t>
  </si>
  <si>
    <t>Total</t>
  </si>
  <si>
    <t>Proposed Budget 2015-2016</t>
  </si>
  <si>
    <t xml:space="preserve">Fall </t>
  </si>
  <si>
    <t>Spring</t>
  </si>
  <si>
    <t xml:space="preserve"> </t>
  </si>
  <si>
    <t>Total Student Fees</t>
  </si>
  <si>
    <t>Other Rev (Gameroom)</t>
  </si>
  <si>
    <t>Reappropriation</t>
  </si>
  <si>
    <t>Total Revenue</t>
  </si>
  <si>
    <t xml:space="preserve">Administrative Service </t>
  </si>
  <si>
    <t>Attorney Fee</t>
  </si>
  <si>
    <t>Auditing Fee</t>
  </si>
  <si>
    <t>Music License Fees</t>
  </si>
  <si>
    <t xml:space="preserve">Director's Insurance </t>
  </si>
  <si>
    <t>General Liability Insurance</t>
  </si>
  <si>
    <t>Student Accident Insurance</t>
  </si>
  <si>
    <t>Student Government Elections</t>
  </si>
  <si>
    <t>Board General &amp; Catering</t>
  </si>
  <si>
    <t>Use of Facilities</t>
  </si>
  <si>
    <t>Leadership Confer/Retreats</t>
  </si>
  <si>
    <t xml:space="preserve">  Club Fairs</t>
  </si>
  <si>
    <t xml:space="preserve">  Senior Dance</t>
  </si>
  <si>
    <t xml:space="preserve">  Salary</t>
  </si>
  <si>
    <t>Student Orientation</t>
  </si>
  <si>
    <t>Club Fairs</t>
  </si>
  <si>
    <t>Student Community Relations</t>
  </si>
  <si>
    <t>President Discretionary Fund</t>
  </si>
  <si>
    <t>Yearbook Committee</t>
  </si>
  <si>
    <t>Undergraduate Research Day</t>
  </si>
  <si>
    <t>Total Operating Expenses</t>
  </si>
  <si>
    <t>Unallocated Funds</t>
  </si>
  <si>
    <t xml:space="preserve">     Full-Time @ $72.15</t>
  </si>
  <si>
    <t xml:space="preserve">     Part-Time @ $52.15</t>
  </si>
  <si>
    <t xml:space="preserve">Budget Committee </t>
  </si>
  <si>
    <t xml:space="preserve"> Budget/Expenditure Report</t>
  </si>
  <si>
    <t>Y-T-D        Revenue Expenses &amp; Encumbrances</t>
  </si>
  <si>
    <t>Variances</t>
  </si>
  <si>
    <t>Total Revenue &amp; Reappropriation</t>
  </si>
  <si>
    <t>Professional Services</t>
  </si>
  <si>
    <t>Printing &amp; Duplicating</t>
  </si>
  <si>
    <t>Athletic Supplies</t>
  </si>
  <si>
    <t>Other Supplies</t>
  </si>
  <si>
    <t>Travel - Air Fare</t>
  </si>
  <si>
    <t>Local - Ground Transportation</t>
  </si>
  <si>
    <t xml:space="preserve">Hotel &amp; Lodging </t>
  </si>
  <si>
    <t>`</t>
  </si>
  <si>
    <t>Meals</t>
  </si>
  <si>
    <t>Registration Fees</t>
  </si>
  <si>
    <t>Rental</t>
  </si>
  <si>
    <t>Entry Fees</t>
  </si>
  <si>
    <t>Referee &amp; Game Aide</t>
  </si>
  <si>
    <t>Catering</t>
  </si>
  <si>
    <t>Membership</t>
  </si>
  <si>
    <t>Athletic Insurance</t>
  </si>
  <si>
    <t>Equipment</t>
  </si>
  <si>
    <t>Salary</t>
  </si>
  <si>
    <t xml:space="preserve">Study Away / Abroad Fund </t>
  </si>
  <si>
    <t>Budget/Expenditure Report</t>
  </si>
  <si>
    <t xml:space="preserve">Game Room </t>
  </si>
  <si>
    <t>Game Room Revenue</t>
  </si>
  <si>
    <t>Pool Table Maintenance</t>
  </si>
  <si>
    <t>Furniture Replacement</t>
  </si>
  <si>
    <t>Supplies</t>
  </si>
  <si>
    <t>Webcasters / Fees</t>
  </si>
  <si>
    <t>Conferences</t>
  </si>
  <si>
    <t>Transcription Services</t>
  </si>
  <si>
    <t>Promotional Items</t>
  </si>
  <si>
    <t>Equipment Maintenance</t>
  </si>
  <si>
    <t>Association Performing Arts Fund</t>
  </si>
  <si>
    <t>Date</t>
  </si>
  <si>
    <t>Accounting Club</t>
  </si>
  <si>
    <t>African Student Association</t>
  </si>
  <si>
    <t>Aviation Club</t>
  </si>
  <si>
    <t>Bengali Student Association</t>
  </si>
  <si>
    <t>Brotherhood / Sisterhood Society</t>
  </si>
  <si>
    <t>Caribbean Student Association</t>
  </si>
  <si>
    <t>Future Teachers Club</t>
  </si>
  <si>
    <t>Haitian Student Association</t>
  </si>
  <si>
    <t>Finance Club</t>
  </si>
  <si>
    <t>Muslim Student Association</t>
  </si>
  <si>
    <t>SEEK</t>
  </si>
  <si>
    <t>Total Clubs Award</t>
  </si>
  <si>
    <t>Student Government Association</t>
  </si>
  <si>
    <t>Administrative Fee</t>
  </si>
  <si>
    <t>Cultural, Social &amp; Educational Programs</t>
  </si>
  <si>
    <t>Co-Sponsorship (Special Allocation)</t>
  </si>
  <si>
    <t>SGA Award Banquet</t>
  </si>
  <si>
    <t>Club Info Fair &amp; Expo</t>
  </si>
  <si>
    <t>Study/Distress Week</t>
  </si>
  <si>
    <t>Stipends</t>
  </si>
  <si>
    <t>Biotechnology Club</t>
  </si>
  <si>
    <t>Blue Diamond Association</t>
  </si>
  <si>
    <t xml:space="preserve">Cardinal Steppers </t>
  </si>
  <si>
    <t>Clinical Laboratory</t>
  </si>
  <si>
    <t>Geology Club</t>
  </si>
  <si>
    <t>Helping Hands Club</t>
  </si>
  <si>
    <t>Human Resources Club</t>
  </si>
  <si>
    <t>Joy/Intervarsity Club</t>
  </si>
  <si>
    <t>Red Shoes Club</t>
  </si>
  <si>
    <t>SAGA</t>
  </si>
  <si>
    <t>Social Work Club</t>
  </si>
  <si>
    <t>YSOTA</t>
  </si>
  <si>
    <t>Total Fall</t>
  </si>
  <si>
    <t>African American Club</t>
  </si>
  <si>
    <t>Chemistry Club</t>
  </si>
  <si>
    <t>Chinese New Year - Stdt Gov't</t>
  </si>
  <si>
    <t>Create &amp; Relate</t>
  </si>
  <si>
    <t>4th Floor Productions</t>
  </si>
  <si>
    <t>Gerontology Club</t>
  </si>
  <si>
    <t>Health Club</t>
  </si>
  <si>
    <t>Hillel Club</t>
  </si>
  <si>
    <t>Impact Club</t>
  </si>
  <si>
    <t>I.S.M.</t>
  </si>
  <si>
    <t>Physics Club</t>
  </si>
  <si>
    <t>Pre Med Club</t>
  </si>
  <si>
    <t>Safety Club</t>
  </si>
  <si>
    <t>Undergraduate Research Club</t>
  </si>
  <si>
    <t>Total Spring</t>
  </si>
  <si>
    <t>Transfer from Budget Committee</t>
  </si>
  <si>
    <t>Adjustded Unallocated Funds</t>
  </si>
  <si>
    <t>Pandora's Box</t>
  </si>
  <si>
    <t>Budget Awarded</t>
  </si>
  <si>
    <t>Total Budget Awarded</t>
  </si>
  <si>
    <t xml:space="preserve">Printing </t>
  </si>
  <si>
    <t>Web/Online</t>
  </si>
  <si>
    <t>Memberships</t>
  </si>
  <si>
    <t>Software / Training</t>
  </si>
  <si>
    <t>Awards</t>
  </si>
  <si>
    <t>Summer @ $15</t>
  </si>
  <si>
    <t>Maintenance</t>
  </si>
  <si>
    <t>Awards Dinner</t>
  </si>
  <si>
    <t>Recruitment Expenses</t>
  </si>
  <si>
    <t>Conference</t>
  </si>
  <si>
    <t>Guest Speaker</t>
  </si>
  <si>
    <t>Pandora' Box</t>
  </si>
  <si>
    <t>Software</t>
  </si>
  <si>
    <t>Total Adjusted Budget &amp; Unallocated Funds</t>
  </si>
  <si>
    <t xml:space="preserve">Total Expenses </t>
  </si>
  <si>
    <t>Form A Adj</t>
  </si>
  <si>
    <t>Adj Enroll.</t>
  </si>
  <si>
    <t>Operating Expenses</t>
  </si>
  <si>
    <t>Reallocation</t>
  </si>
  <si>
    <t>Undergraduate Day</t>
  </si>
  <si>
    <t>Leadership Conferences/Retreats</t>
  </si>
  <si>
    <t>Reappropriation - April 16, 2019</t>
  </si>
  <si>
    <t>Mid-Year Adjustments</t>
  </si>
  <si>
    <t>YORK COLLEGE ASSOCIATION</t>
  </si>
  <si>
    <t>REFERENDUMS AND APPROVED PROGRAMS</t>
  </si>
  <si>
    <t>BUDGET COMMITTEE</t>
  </si>
  <si>
    <t>SUMMER:</t>
  </si>
  <si>
    <t>X</t>
  </si>
  <si>
    <t>=</t>
  </si>
  <si>
    <t>FALL:</t>
  </si>
  <si>
    <t>FULL TIME STUDENTS @ $21.15</t>
  </si>
  <si>
    <t>PART TIME STUDENTS @ $11.15</t>
  </si>
  <si>
    <t>TOTAL FALL</t>
  </si>
  <si>
    <t>SPRING:</t>
  </si>
  <si>
    <t>TOTAL BUDGET COMMITTEE BALANCE</t>
  </si>
  <si>
    <t>ATHLETIC FUND</t>
  </si>
  <si>
    <t>FULL TIME STUDENTS @ $23.00</t>
  </si>
  <si>
    <t>PART TIME STUDENTS @ $16.00</t>
  </si>
  <si>
    <t>TOTAL ATHLETIC FUND</t>
  </si>
  <si>
    <t>CHILD &amp; FAMILY CENTER</t>
  </si>
  <si>
    <t>FULL TIME STUDENTS @ $5.00</t>
  </si>
  <si>
    <t>PART TIME STUDENTS @ $5.00</t>
  </si>
  <si>
    <t>TOTAL CHILD &amp; FAMILY CENTER</t>
  </si>
  <si>
    <t>STUDY AWAY/ABROAD PROGRAM</t>
  </si>
  <si>
    <t>FULL TIME STUDENTS @ $4.00</t>
  </si>
  <si>
    <t>PART TIME STUDENTS @ $3.00</t>
  </si>
  <si>
    <t>TOTAL STUDY AWAY/ABROAD PROGRAM</t>
  </si>
  <si>
    <t>GAMEROOM</t>
  </si>
  <si>
    <t>FULL TIME STUDENTS @ $3.00</t>
  </si>
  <si>
    <t>TOTAL GAMEROOM</t>
  </si>
  <si>
    <t>Y.C RADIO STATION</t>
  </si>
  <si>
    <t>PART TIME STUDENTS @ $4.00</t>
  </si>
  <si>
    <t>PERFORMING ARTS FUND</t>
  </si>
  <si>
    <t>FULL TIME STUDENTS @ $2.00</t>
  </si>
  <si>
    <t>PART TIME STUDENTS @ $2.00</t>
  </si>
  <si>
    <t>TOTAL PERFORMING ARTS FUND BALANCE</t>
  </si>
  <si>
    <t>STUDENT GOVERNMENT</t>
  </si>
  <si>
    <t>FULL TIME STUDENTS @ $6.00</t>
  </si>
  <si>
    <t>PART TIME STUDENTS @ $6.00</t>
  </si>
  <si>
    <t>STUDENT CLUBS</t>
  </si>
  <si>
    <t>TOTAL STUDENT CLUBS</t>
  </si>
  <si>
    <t>YORK CLLEGE ASSOCIATION</t>
  </si>
  <si>
    <t>Student Activity Fee Enrollment</t>
  </si>
  <si>
    <t>Student Association Fee</t>
  </si>
  <si>
    <t xml:space="preserve">     Summer</t>
  </si>
  <si>
    <t>Total Summer</t>
  </si>
  <si>
    <t xml:space="preserve">     Fall</t>
  </si>
  <si>
    <t>Full Time</t>
  </si>
  <si>
    <t>Part Time</t>
  </si>
  <si>
    <t xml:space="preserve">     Spring</t>
  </si>
  <si>
    <t>Student Association Fee Breakdown</t>
  </si>
  <si>
    <t>Referendums</t>
  </si>
  <si>
    <t xml:space="preserve">     Budget Committee**</t>
  </si>
  <si>
    <t xml:space="preserve">     Athletic Department</t>
  </si>
  <si>
    <t xml:space="preserve">     Child and Family Center</t>
  </si>
  <si>
    <t xml:space="preserve">     Study/Away/Aboard Program</t>
  </si>
  <si>
    <t xml:space="preserve">     Game Room</t>
  </si>
  <si>
    <t xml:space="preserve">     YC Radio Station</t>
  </si>
  <si>
    <t xml:space="preserve">     Associatin Performing Arts Fund</t>
  </si>
  <si>
    <t xml:space="preserve">     Student Government</t>
  </si>
  <si>
    <t xml:space="preserve">     Student Clubs</t>
  </si>
  <si>
    <t>Association Fee</t>
  </si>
  <si>
    <t>University Student Senate</t>
  </si>
  <si>
    <t>Total Fees</t>
  </si>
  <si>
    <t>** The increase to $15.00 for the Summer semester will take effect in FY2018</t>
  </si>
  <si>
    <t>Admistrative Fee Breakdown</t>
  </si>
  <si>
    <t>% of Admin Fee</t>
  </si>
  <si>
    <t>Total Admin Fee</t>
  </si>
  <si>
    <t>Rounded Nearest Hundreth</t>
  </si>
  <si>
    <t xml:space="preserve">     Budget Committee</t>
  </si>
  <si>
    <t>Fiscal Year 2019 Acual vs 2020 Budget</t>
  </si>
  <si>
    <t>FY2019 Actual</t>
  </si>
  <si>
    <t>FY2020  Proposed</t>
  </si>
  <si>
    <t>Fiscal Year 2019-2020</t>
  </si>
  <si>
    <t>PART TIME STUDENTS @ $15.00</t>
  </si>
  <si>
    <t>As of July 1, 2019</t>
  </si>
  <si>
    <t>FOR FISCAL YEAR 2019 - 2020</t>
  </si>
  <si>
    <t>Initial Enroll. 90% of FY19 Actuals</t>
  </si>
  <si>
    <t>Proposed Budget/Expenditure Report - FY 2020</t>
  </si>
  <si>
    <t>Prior Year (FY19) Budget Deficit</t>
  </si>
  <si>
    <t>Business Office Support</t>
  </si>
  <si>
    <t>Business Office Support (Caried from FY19)</t>
  </si>
  <si>
    <t>Periodicals/Subcriptions</t>
  </si>
  <si>
    <t>Homecoming</t>
  </si>
  <si>
    <t>Equipment Replacement (Video &amp; Pool Table)</t>
  </si>
  <si>
    <t>Tournament - Catering &amp; Trophies</t>
  </si>
  <si>
    <t>Catering (Business Meals)</t>
  </si>
  <si>
    <t>Dean's List Ceremony</t>
  </si>
  <si>
    <t>International Student Orientation</t>
  </si>
  <si>
    <t>Y-T-D         Encumbrances</t>
  </si>
  <si>
    <t xml:space="preserve">Y-T-D         Expenses </t>
  </si>
  <si>
    <t>Y-T-D        Expenses</t>
  </si>
  <si>
    <t>FY2020  Actual</t>
  </si>
  <si>
    <t>Human Resources Club (Annual Dinner, Career Luncheon)</t>
  </si>
  <si>
    <t>TRIO (Max &amp; Relax Day)</t>
  </si>
  <si>
    <t>Red Shoes (Halloween Party)</t>
  </si>
  <si>
    <t>Pre - Med (General Meeting)</t>
  </si>
  <si>
    <t>True Society (Halloween Party DJ)</t>
  </si>
  <si>
    <t>True Society (Alumni Event)</t>
  </si>
  <si>
    <t>Accepted Student Reception</t>
  </si>
  <si>
    <t>Open House</t>
  </si>
  <si>
    <t>Julius Ceasar Production Support</t>
  </si>
  <si>
    <t>OT Pinning Ceremony</t>
  </si>
  <si>
    <t>Pre - Med (Final Meeting)</t>
  </si>
  <si>
    <t>Chemistry and Pharmaceutical Club (12/5/19 Event)</t>
  </si>
  <si>
    <t>Chemistry and Pharmaceutical Club (11/21/19 Event)</t>
  </si>
  <si>
    <t>International Student Society (Welcome Back Party)</t>
  </si>
  <si>
    <t>Math Learning /Tutoring Club (Math Club Showcase)</t>
  </si>
  <si>
    <t>International Student Society (Lets Get to Know NYC Together)</t>
  </si>
  <si>
    <t>0144</t>
  </si>
  <si>
    <t>2469</t>
  </si>
  <si>
    <t>2470</t>
  </si>
  <si>
    <t>0137</t>
  </si>
  <si>
    <t>2452</t>
  </si>
  <si>
    <t>2455</t>
  </si>
  <si>
    <t>2467</t>
  </si>
  <si>
    <t>Classroom Furniture</t>
  </si>
  <si>
    <t>Women in Aviation</t>
  </si>
  <si>
    <t>Commencement FY20</t>
  </si>
  <si>
    <t>Study up 'til Midnight</t>
  </si>
  <si>
    <t>Black and Puerto Rican Caucus</t>
  </si>
  <si>
    <t>Reappropriation - Classroom Furniture</t>
  </si>
  <si>
    <t>Reappropriation - Commencement</t>
  </si>
  <si>
    <t>Reappropriation - Study up 'til Midnight</t>
  </si>
  <si>
    <t>Reappropriation - Black and Pueto Rican Caucus</t>
  </si>
  <si>
    <t>Reappropriation - Classroom Furniture/SGA</t>
  </si>
  <si>
    <t>Out of Town Meals</t>
  </si>
  <si>
    <t>Maliha Hoque - China</t>
  </si>
  <si>
    <t xml:space="preserve">Y-T-D        Revenue Expenses </t>
  </si>
  <si>
    <t>Wilkins Cerda - India</t>
  </si>
  <si>
    <t>Hamwattie Rampersaud - India</t>
  </si>
  <si>
    <t>Encumbrances</t>
  </si>
  <si>
    <t>NYSOTA (12 Students)</t>
  </si>
  <si>
    <t>KCACT Festival (6 Theatre Stdts)</t>
  </si>
  <si>
    <t>TOTAL STUDENT GOVERNMENT</t>
  </si>
  <si>
    <t>GRAND TOTAL</t>
  </si>
  <si>
    <t>Anime Club</t>
  </si>
  <si>
    <t>Women's Society</t>
  </si>
  <si>
    <t>Child &amp; Family Ctr Washer &amp; Dryer</t>
  </si>
  <si>
    <t>Reappropriation - YCCFC Washer &amp; Dryer</t>
  </si>
  <si>
    <t>AOTA Conference ( 12 Students )</t>
  </si>
  <si>
    <t>As of June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</si>
</sst>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mm/dd/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rgb="FFFF0000"/>
      <name val="Calibri"/>
      <family val="2"/>
      <scheme val="minor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i/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i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MS Sans Serif"/>
    </font>
    <font>
      <sz val="12"/>
      <color indexed="8"/>
      <name val="Times New Roman"/>
      <family val="1"/>
    </font>
    <font>
      <sz val="11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/>
    <xf numFmtId="0" fontId="22" fillId="0" borderId="0"/>
  </cellStyleXfs>
  <cellXfs count="261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64" fontId="4" fillId="0" borderId="7" xfId="1" applyNumberFormat="1" applyFont="1" applyFill="1" applyBorder="1"/>
    <xf numFmtId="0" fontId="0" fillId="0" borderId="0" xfId="0" applyFill="1" applyBorder="1"/>
    <xf numFmtId="164" fontId="4" fillId="0" borderId="4" xfId="1" applyNumberFormat="1" applyFont="1" applyFill="1" applyBorder="1"/>
    <xf numFmtId="164" fontId="4" fillId="0" borderId="0" xfId="1" applyNumberFormat="1" applyFont="1" applyFill="1" applyBorder="1"/>
    <xf numFmtId="164" fontId="4" fillId="0" borderId="10" xfId="1" applyNumberFormat="1" applyFont="1" applyFill="1" applyBorder="1"/>
    <xf numFmtId="164" fontId="2" fillId="0" borderId="10" xfId="0" applyNumberFormat="1" applyFont="1" applyFill="1" applyBorder="1"/>
    <xf numFmtId="164" fontId="1" fillId="0" borderId="0" xfId="1" applyNumberFormat="1" applyFont="1" applyFill="1"/>
    <xf numFmtId="0" fontId="0" fillId="0" borderId="10" xfId="0" applyFill="1" applyBorder="1"/>
    <xf numFmtId="164" fontId="0" fillId="0" borderId="10" xfId="0" applyNumberFormat="1" applyFill="1" applyBorder="1"/>
    <xf numFmtId="164" fontId="0" fillId="0" borderId="0" xfId="0" applyNumberFormat="1" applyFill="1"/>
    <xf numFmtId="164" fontId="4" fillId="0" borderId="5" xfId="1" applyNumberFormat="1" applyFont="1" applyFill="1" applyBorder="1"/>
    <xf numFmtId="164" fontId="4" fillId="0" borderId="3" xfId="1" applyNumberFormat="1" applyFont="1" applyFill="1" applyBorder="1"/>
    <xf numFmtId="164" fontId="4" fillId="0" borderId="1" xfId="1" applyNumberFormat="1" applyFont="1" applyFill="1" applyBorder="1"/>
    <xf numFmtId="164" fontId="4" fillId="0" borderId="6" xfId="1" applyNumberFormat="1" applyFont="1" applyFill="1" applyBorder="1"/>
    <xf numFmtId="164" fontId="2" fillId="0" borderId="6" xfId="0" applyNumberFormat="1" applyFont="1" applyFill="1" applyBorder="1"/>
    <xf numFmtId="164" fontId="0" fillId="0" borderId="1" xfId="0" applyNumberFormat="1" applyFill="1" applyBorder="1"/>
    <xf numFmtId="164" fontId="1" fillId="0" borderId="1" xfId="1" applyNumberFormat="1" applyFont="1" applyFill="1" applyBorder="1"/>
    <xf numFmtId="164" fontId="3" fillId="0" borderId="6" xfId="1" applyNumberFormat="1" applyFont="1" applyFill="1" applyBorder="1"/>
    <xf numFmtId="0" fontId="6" fillId="0" borderId="0" xfId="0" applyFont="1" applyFill="1" applyAlignment="1">
      <alignment horizontal="left"/>
    </xf>
    <xf numFmtId="164" fontId="4" fillId="0" borderId="0" xfId="1" applyNumberFormat="1" applyFont="1" applyFill="1"/>
    <xf numFmtId="0" fontId="6" fillId="0" borderId="0" xfId="0" applyFont="1" applyFill="1" applyAlignment="1"/>
    <xf numFmtId="0" fontId="6" fillId="0" borderId="0" xfId="0" applyFont="1" applyFill="1" applyBorder="1" applyAlignment="1"/>
    <xf numFmtId="0" fontId="7" fillId="0" borderId="0" xfId="0" applyFont="1" applyFill="1" applyAlignment="1"/>
    <xf numFmtId="164" fontId="4" fillId="0" borderId="14" xfId="1" applyNumberFormat="1" applyFont="1" applyFill="1" applyBorder="1"/>
    <xf numFmtId="164" fontId="0" fillId="0" borderId="3" xfId="0" applyNumberForma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Border="1"/>
    <xf numFmtId="164" fontId="3" fillId="0" borderId="0" xfId="0" applyNumberFormat="1" applyFont="1" applyFill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8" fillId="0" borderId="0" xfId="0" applyFont="1" applyFill="1" applyAlignment="1"/>
    <xf numFmtId="164" fontId="3" fillId="0" borderId="3" xfId="1" applyNumberFormat="1" applyFont="1" applyFill="1" applyBorder="1"/>
    <xf numFmtId="164" fontId="3" fillId="0" borderId="1" xfId="1" applyNumberFormat="1" applyFont="1" applyFill="1" applyBorder="1"/>
    <xf numFmtId="164" fontId="3" fillId="0" borderId="14" xfId="1" applyNumberFormat="1" applyFont="1" applyFill="1" applyBorder="1"/>
    <xf numFmtId="0" fontId="2" fillId="0" borderId="0" xfId="0" applyFont="1" applyFill="1" applyAlignment="1">
      <alignment horizontal="left"/>
    </xf>
    <xf numFmtId="164" fontId="2" fillId="0" borderId="8" xfId="0" applyNumberFormat="1" applyFont="1" applyFill="1" applyBorder="1"/>
    <xf numFmtId="164" fontId="2" fillId="0" borderId="2" xfId="0" applyNumberFormat="1" applyFont="1" applyFill="1" applyBorder="1"/>
    <xf numFmtId="164" fontId="2" fillId="0" borderId="17" xfId="0" applyNumberFormat="1" applyFont="1" applyFill="1" applyBorder="1"/>
    <xf numFmtId="164" fontId="2" fillId="0" borderId="0" xfId="0" applyNumberFormat="1" applyFont="1" applyFill="1" applyBorder="1"/>
    <xf numFmtId="165" fontId="0" fillId="0" borderId="0" xfId="0" applyNumberFormat="1" applyFill="1" applyAlignment="1">
      <alignment horizontal="left"/>
    </xf>
    <xf numFmtId="165" fontId="5" fillId="0" borderId="11" xfId="0" applyNumberFormat="1" applyFont="1" applyFill="1" applyBorder="1" applyAlignment="1">
      <alignment horizontal="left"/>
    </xf>
    <xf numFmtId="165" fontId="6" fillId="0" borderId="0" xfId="0" applyNumberFormat="1" applyFont="1" applyFill="1" applyAlignment="1">
      <alignment horizontal="left"/>
    </xf>
    <xf numFmtId="165" fontId="6" fillId="0" borderId="0" xfId="0" applyNumberFormat="1" applyFont="1" applyFill="1" applyAlignment="1"/>
    <xf numFmtId="165" fontId="6" fillId="0" borderId="0" xfId="0" applyNumberFormat="1" applyFont="1" applyFill="1" applyBorder="1" applyAlignment="1"/>
    <xf numFmtId="165" fontId="7" fillId="0" borderId="0" xfId="0" applyNumberFormat="1" applyFont="1" applyFill="1" applyAlignment="1"/>
    <xf numFmtId="165" fontId="8" fillId="0" borderId="0" xfId="0" applyNumberFormat="1" applyFont="1" applyFill="1" applyAlignment="1"/>
    <xf numFmtId="165" fontId="2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64" fontId="10" fillId="0" borderId="0" xfId="3" applyNumberFormat="1" applyFont="1" applyFill="1" applyBorder="1" applyAlignment="1">
      <alignment horizontal="center" wrapText="1"/>
    </xf>
    <xf numFmtId="164" fontId="4" fillId="0" borderId="0" xfId="3" applyNumberFormat="1" applyFont="1"/>
    <xf numFmtId="164" fontId="4" fillId="0" borderId="0" xfId="3" applyNumberFormat="1" applyFont="1" applyBorder="1"/>
    <xf numFmtId="164" fontId="4" fillId="0" borderId="0" xfId="3" applyNumberFormat="1" applyFont="1" applyFill="1"/>
    <xf numFmtId="164" fontId="4" fillId="0" borderId="0" xfId="3" applyNumberFormat="1" applyFont="1" applyFill="1" applyBorder="1"/>
    <xf numFmtId="164" fontId="4" fillId="0" borderId="1" xfId="3" applyNumberFormat="1" applyFont="1" applyBorder="1"/>
    <xf numFmtId="164" fontId="4" fillId="0" borderId="1" xfId="3" applyNumberFormat="1" applyFont="1" applyFill="1" applyBorder="1"/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2" fillId="0" borderId="1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164" fontId="8" fillId="0" borderId="11" xfId="3" applyNumberFormat="1" applyFont="1" applyFill="1" applyBorder="1" applyAlignment="1">
      <alignment horizontal="center" wrapText="1"/>
    </xf>
    <xf numFmtId="164" fontId="8" fillId="0" borderId="0" xfId="3" applyNumberFormat="1" applyFont="1" applyFill="1" applyBorder="1" applyAlignment="1">
      <alignment horizontal="center" wrapText="1"/>
    </xf>
    <xf numFmtId="0" fontId="7" fillId="0" borderId="0" xfId="0" applyFont="1"/>
    <xf numFmtId="0" fontId="7" fillId="0" borderId="0" xfId="0" applyFont="1" applyBorder="1"/>
    <xf numFmtId="164" fontId="7" fillId="0" borderId="0" xfId="3" applyNumberFormat="1" applyFont="1"/>
    <xf numFmtId="164" fontId="7" fillId="0" borderId="0" xfId="3" applyNumberFormat="1" applyFont="1" applyBorder="1"/>
    <xf numFmtId="164" fontId="7" fillId="0" borderId="0" xfId="3" applyNumberFormat="1" applyFont="1" applyFill="1"/>
    <xf numFmtId="164" fontId="7" fillId="0" borderId="0" xfId="3" applyNumberFormat="1" applyFont="1" applyFill="1" applyBorder="1"/>
    <xf numFmtId="0" fontId="7" fillId="0" borderId="0" xfId="0" applyFont="1" applyAlignment="1">
      <alignment horizontal="right"/>
    </xf>
    <xf numFmtId="164" fontId="7" fillId="0" borderId="1" xfId="3" applyNumberFormat="1" applyFont="1" applyBorder="1"/>
    <xf numFmtId="164" fontId="7" fillId="0" borderId="1" xfId="3" applyNumberFormat="1" applyFont="1" applyFill="1" applyBorder="1"/>
    <xf numFmtId="0" fontId="7" fillId="0" borderId="0" xfId="0" applyFont="1" applyAlignment="1">
      <alignment horizontal="left"/>
    </xf>
    <xf numFmtId="164" fontId="0" fillId="0" borderId="0" xfId="1" applyNumberFormat="1" applyFont="1" applyFill="1"/>
    <xf numFmtId="164" fontId="0" fillId="0" borderId="0" xfId="1" applyNumberFormat="1" applyFont="1"/>
    <xf numFmtId="0" fontId="6" fillId="0" borderId="0" xfId="0" applyFont="1" applyFill="1"/>
    <xf numFmtId="0" fontId="7" fillId="0" borderId="0" xfId="0" applyFont="1" applyFill="1" applyBorder="1"/>
    <xf numFmtId="0" fontId="7" fillId="0" borderId="0" xfId="0" applyFont="1" applyFill="1"/>
    <xf numFmtId="164" fontId="7" fillId="0" borderId="0" xfId="0" applyNumberFormat="1" applyFont="1" applyFill="1"/>
    <xf numFmtId="166" fontId="7" fillId="0" borderId="0" xfId="0" applyNumberFormat="1" applyFont="1"/>
    <xf numFmtId="164" fontId="7" fillId="0" borderId="0" xfId="0" applyNumberFormat="1" applyFont="1"/>
    <xf numFmtId="164" fontId="7" fillId="0" borderId="14" xfId="3" applyNumberFormat="1" applyFont="1" applyBorder="1"/>
    <xf numFmtId="164" fontId="7" fillId="0" borderId="0" xfId="0" applyNumberFormat="1" applyFont="1" applyFill="1" applyBorder="1"/>
    <xf numFmtId="0" fontId="11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center"/>
    </xf>
    <xf numFmtId="164" fontId="13" fillId="0" borderId="0" xfId="0" applyNumberFormat="1" applyFont="1"/>
    <xf numFmtId="0" fontId="12" fillId="0" borderId="0" xfId="0" applyFont="1" applyAlignment="1">
      <alignment horizontal="left"/>
    </xf>
    <xf numFmtId="166" fontId="7" fillId="0" borderId="0" xfId="0" applyNumberFormat="1" applyFont="1" applyAlignment="1">
      <alignment horizontal="center"/>
    </xf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3" applyFont="1"/>
    <xf numFmtId="43" fontId="7" fillId="0" borderId="0" xfId="3" applyFont="1" applyBorder="1"/>
    <xf numFmtId="43" fontId="7" fillId="0" borderId="0" xfId="3" applyFont="1" applyFill="1"/>
    <xf numFmtId="43" fontId="7" fillId="0" borderId="0" xfId="3" applyFont="1" applyFill="1" applyBorder="1"/>
    <xf numFmtId="164" fontId="7" fillId="0" borderId="14" xfId="3" applyNumberFormat="1" applyFont="1" applyFill="1" applyBorder="1"/>
    <xf numFmtId="164" fontId="0" fillId="0" borderId="0" xfId="0" applyNumberFormat="1" applyFill="1" applyBorder="1"/>
    <xf numFmtId="9" fontId="4" fillId="0" borderId="4" xfId="1" applyNumberFormat="1" applyFont="1" applyFill="1" applyBorder="1"/>
    <xf numFmtId="9" fontId="4" fillId="0" borderId="0" xfId="1" applyNumberFormat="1" applyFont="1" applyFill="1" applyBorder="1"/>
    <xf numFmtId="43" fontId="0" fillId="0" borderId="0" xfId="0" applyNumberFormat="1"/>
    <xf numFmtId="0" fontId="0" fillId="0" borderId="0" xfId="0" applyFont="1" applyBorder="1"/>
    <xf numFmtId="0" fontId="0" fillId="0" borderId="0" xfId="0" applyFont="1"/>
    <xf numFmtId="0" fontId="0" fillId="0" borderId="4" xfId="0" applyFill="1" applyBorder="1"/>
    <xf numFmtId="43" fontId="0" fillId="0" borderId="0" xfId="1" applyFont="1" applyFill="1" applyAlignment="1">
      <alignment horizontal="left"/>
    </xf>
    <xf numFmtId="0" fontId="5" fillId="0" borderId="12" xfId="0" applyFont="1" applyFill="1" applyBorder="1" applyAlignment="1">
      <alignment horizontal="center" wrapText="1"/>
    </xf>
    <xf numFmtId="0" fontId="0" fillId="2" borderId="7" xfId="0" applyFill="1" applyBorder="1"/>
    <xf numFmtId="164" fontId="4" fillId="2" borderId="7" xfId="1" applyNumberFormat="1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0" fillId="2" borderId="18" xfId="0" applyFill="1" applyBorder="1"/>
    <xf numFmtId="0" fontId="0" fillId="2" borderId="10" xfId="0" applyFill="1" applyBorder="1"/>
    <xf numFmtId="0" fontId="2" fillId="2" borderId="4" xfId="0" applyFont="1" applyFill="1" applyBorder="1"/>
    <xf numFmtId="0" fontId="2" fillId="2" borderId="10" xfId="0" applyFont="1" applyFill="1" applyBorder="1"/>
    <xf numFmtId="0" fontId="2" fillId="2" borderId="8" xfId="0" applyFont="1" applyFill="1" applyBorder="1"/>
    <xf numFmtId="0" fontId="2" fillId="2" borderId="17" xfId="0" applyFont="1" applyFill="1" applyBorder="1"/>
    <xf numFmtId="0" fontId="0" fillId="2" borderId="19" xfId="0" applyFill="1" applyBorder="1"/>
    <xf numFmtId="164" fontId="3" fillId="0" borderId="10" xfId="1" applyNumberFormat="1" applyFont="1" applyFill="1" applyBorder="1"/>
    <xf numFmtId="165" fontId="0" fillId="0" borderId="0" xfId="0" applyNumberFormat="1" applyFill="1" applyBorder="1" applyAlignment="1">
      <alignment horizontal="left"/>
    </xf>
    <xf numFmtId="164" fontId="6" fillId="0" borderId="0" xfId="3" applyNumberFormat="1" applyFont="1" applyFill="1"/>
    <xf numFmtId="0" fontId="11" fillId="0" borderId="0" xfId="0" applyFont="1" applyFill="1"/>
    <xf numFmtId="0" fontId="16" fillId="0" borderId="0" xfId="0" applyFont="1" applyFill="1" applyAlignment="1"/>
    <xf numFmtId="0" fontId="9" fillId="0" borderId="0" xfId="0" applyFont="1" applyBorder="1"/>
    <xf numFmtId="164" fontId="17" fillId="0" borderId="0" xfId="3" applyNumberFormat="1" applyFont="1"/>
    <xf numFmtId="164" fontId="17" fillId="0" borderId="0" xfId="3" applyNumberFormat="1" applyFont="1" applyBorder="1"/>
    <xf numFmtId="164" fontId="17" fillId="0" borderId="0" xfId="3" applyNumberFormat="1" applyFont="1" applyFill="1"/>
    <xf numFmtId="164" fontId="17" fillId="0" borderId="0" xfId="3" applyNumberFormat="1" applyFont="1" applyFill="1" applyBorder="1"/>
    <xf numFmtId="0" fontId="9" fillId="0" borderId="0" xfId="0" applyFont="1"/>
    <xf numFmtId="164" fontId="0" fillId="0" borderId="0" xfId="1" applyNumberFormat="1" applyFont="1" applyFill="1" applyAlignment="1">
      <alignment horizontal="center"/>
    </xf>
    <xf numFmtId="164" fontId="3" fillId="0" borderId="11" xfId="1" applyNumberFormat="1" applyFont="1" applyFill="1" applyBorder="1" applyAlignment="1">
      <alignment horizontal="center" wrapText="1"/>
    </xf>
    <xf numFmtId="164" fontId="17" fillId="0" borderId="0" xfId="1" applyNumberFormat="1" applyFont="1" applyFill="1"/>
    <xf numFmtId="164" fontId="4" fillId="0" borderId="0" xfId="1" applyNumberFormat="1" applyFont="1" applyBorder="1"/>
    <xf numFmtId="164" fontId="0" fillId="0" borderId="0" xfId="3" applyNumberFormat="1" applyFont="1" applyFill="1"/>
    <xf numFmtId="164" fontId="0" fillId="0" borderId="0" xfId="3" applyNumberFormat="1" applyFont="1"/>
    <xf numFmtId="0" fontId="3" fillId="0" borderId="0" xfId="0" applyFont="1" applyAlignment="1">
      <alignment horizontal="center"/>
    </xf>
    <xf numFmtId="0" fontId="18" fillId="0" borderId="0" xfId="0" applyFont="1" applyFill="1"/>
    <xf numFmtId="164" fontId="18" fillId="0" borderId="0" xfId="0" applyNumberFormat="1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164" fontId="19" fillId="0" borderId="0" xfId="1" applyNumberFormat="1" applyFont="1"/>
    <xf numFmtId="164" fontId="8" fillId="0" borderId="0" xfId="1" applyNumberFormat="1" applyFont="1"/>
    <xf numFmtId="164" fontId="6" fillId="0" borderId="0" xfId="1" applyNumberFormat="1" applyFont="1"/>
    <xf numFmtId="164" fontId="6" fillId="0" borderId="2" xfId="1" applyNumberFormat="1" applyFont="1" applyBorder="1"/>
    <xf numFmtId="1" fontId="0" fillId="0" borderId="0" xfId="0" applyNumberFormat="1" applyBorder="1" applyAlignment="1">
      <alignment horizontal="right"/>
    </xf>
    <xf numFmtId="164" fontId="6" fillId="0" borderId="1" xfId="1" applyNumberFormat="1" applyFont="1" applyBorder="1"/>
    <xf numFmtId="164" fontId="8" fillId="0" borderId="1" xfId="1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164" fontId="1" fillId="0" borderId="0" xfId="1" applyNumberFormat="1" applyFont="1"/>
    <xf numFmtId="9" fontId="0" fillId="0" borderId="0" xfId="0" applyNumberFormat="1"/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" fontId="1" fillId="0" borderId="0" xfId="1" applyNumberFormat="1" applyFont="1" applyAlignment="1">
      <alignment horizontal="center"/>
    </xf>
    <xf numFmtId="1" fontId="1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right"/>
    </xf>
    <xf numFmtId="9" fontId="0" fillId="0" borderId="0" xfId="0" applyNumberFormat="1" applyAlignment="1"/>
    <xf numFmtId="0" fontId="0" fillId="0" borderId="0" xfId="0" applyAlignment="1"/>
    <xf numFmtId="49" fontId="2" fillId="0" borderId="1" xfId="1" applyNumberFormat="1" applyFont="1" applyBorder="1" applyAlignment="1">
      <alignment horizontal="center"/>
    </xf>
    <xf numFmtId="43" fontId="2" fillId="0" borderId="1" xfId="1" applyFont="1" applyBorder="1"/>
    <xf numFmtId="43" fontId="1" fillId="0" borderId="0" xfId="1" applyFont="1"/>
    <xf numFmtId="43" fontId="1" fillId="0" borderId="0" xfId="1" applyFont="1" applyBorder="1"/>
    <xf numFmtId="0" fontId="3" fillId="0" borderId="0" xfId="0" applyFont="1" applyBorder="1"/>
    <xf numFmtId="44" fontId="1" fillId="0" borderId="0" xfId="2" applyFont="1"/>
    <xf numFmtId="43" fontId="1" fillId="0" borderId="0" xfId="1" applyFont="1" applyAlignment="1"/>
    <xf numFmtId="43" fontId="1" fillId="0" borderId="0" xfId="1" applyFont="1" applyBorder="1" applyAlignment="1"/>
    <xf numFmtId="0" fontId="0" fillId="0" borderId="0" xfId="0" applyFill="1" applyBorder="1" applyAlignment="1">
      <alignment horizontal="left" wrapText="1"/>
    </xf>
    <xf numFmtId="0" fontId="3" fillId="0" borderId="0" xfId="0" applyFont="1" applyBorder="1" applyAlignment="1">
      <alignment horizontal="right"/>
    </xf>
    <xf numFmtId="43" fontId="1" fillId="0" borderId="1" xfId="1" applyFont="1" applyBorder="1"/>
    <xf numFmtId="44" fontId="1" fillId="0" borderId="1" xfId="2" applyFont="1" applyBorder="1"/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/>
    <xf numFmtId="44" fontId="0" fillId="0" borderId="0" xfId="0" applyNumberFormat="1"/>
    <xf numFmtId="43" fontId="0" fillId="0" borderId="0" xfId="1" applyFont="1"/>
    <xf numFmtId="164" fontId="1" fillId="0" borderId="0" xfId="1" applyNumberFormat="1" applyFont="1" applyAlignment="1"/>
    <xf numFmtId="44" fontId="0" fillId="0" borderId="1" xfId="0" applyNumberFormat="1" applyBorder="1"/>
    <xf numFmtId="164" fontId="2" fillId="0" borderId="1" xfId="1" applyNumberFormat="1" applyFont="1" applyBorder="1"/>
    <xf numFmtId="1" fontId="0" fillId="0" borderId="0" xfId="0" applyNumberFormat="1" applyAlignment="1">
      <alignment horizontal="right"/>
    </xf>
    <xf numFmtId="164" fontId="3" fillId="0" borderId="5" xfId="1" applyNumberFormat="1" applyFont="1" applyFill="1" applyBorder="1"/>
    <xf numFmtId="164" fontId="2" fillId="0" borderId="1" xfId="0" applyNumberFormat="1" applyFont="1" applyFill="1" applyBorder="1"/>
    <xf numFmtId="164" fontId="2" fillId="0" borderId="1" xfId="1" applyNumberFormat="1" applyFont="1" applyFill="1" applyBorder="1"/>
    <xf numFmtId="43" fontId="2" fillId="0" borderId="0" xfId="0" applyNumberFormat="1" applyFont="1" applyFill="1"/>
    <xf numFmtId="0" fontId="2" fillId="0" borderId="0" xfId="0" applyFont="1" applyFill="1"/>
    <xf numFmtId="164" fontId="3" fillId="0" borderId="0" xfId="1" applyNumberFormat="1" applyFont="1" applyFill="1" applyBorder="1"/>
    <xf numFmtId="165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64" fontId="3" fillId="0" borderId="8" xfId="1" applyNumberFormat="1" applyFont="1" applyFill="1" applyBorder="1"/>
    <xf numFmtId="164" fontId="3" fillId="0" borderId="2" xfId="1" applyNumberFormat="1" applyFont="1" applyFill="1" applyBorder="1"/>
    <xf numFmtId="0" fontId="0" fillId="0" borderId="0" xfId="0" applyBorder="1" applyAlignment="1">
      <alignment horizontal="center"/>
    </xf>
    <xf numFmtId="44" fontId="18" fillId="0" borderId="0" xfId="2" applyFont="1" applyFill="1"/>
    <xf numFmtId="0" fontId="0" fillId="0" borderId="0" xfId="0" applyBorder="1" applyAlignment="1">
      <alignment horizontal="center"/>
    </xf>
    <xf numFmtId="0" fontId="18" fillId="0" borderId="0" xfId="0" applyFont="1" applyFill="1" applyBorder="1"/>
    <xf numFmtId="0" fontId="3" fillId="0" borderId="1" xfId="0" applyFont="1" applyBorder="1" applyAlignment="1">
      <alignment horizontal="center"/>
    </xf>
    <xf numFmtId="0" fontId="18" fillId="0" borderId="0" xfId="0" applyFont="1" applyFill="1" applyAlignment="1">
      <alignment horizontal="left"/>
    </xf>
    <xf numFmtId="165" fontId="18" fillId="0" borderId="0" xfId="0" applyNumberFormat="1" applyFont="1" applyFill="1" applyAlignment="1">
      <alignment horizontal="left"/>
    </xf>
    <xf numFmtId="44" fontId="18" fillId="0" borderId="0" xfId="2" applyFont="1" applyFill="1" applyAlignment="1">
      <alignment horizontal="left"/>
    </xf>
    <xf numFmtId="165" fontId="18" fillId="0" borderId="0" xfId="2" applyNumberFormat="1" applyFont="1" applyFill="1" applyAlignment="1">
      <alignment horizontal="left"/>
    </xf>
    <xf numFmtId="44" fontId="18" fillId="0" borderId="0" xfId="2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quotePrefix="1" applyFont="1"/>
    <xf numFmtId="0" fontId="6" fillId="0" borderId="0" xfId="0" quotePrefix="1" applyFont="1" applyAlignment="1">
      <alignment horizontal="left"/>
    </xf>
    <xf numFmtId="164" fontId="11" fillId="0" borderId="0" xfId="1" applyNumberFormat="1" applyFont="1" applyFill="1"/>
    <xf numFmtId="0" fontId="20" fillId="0" borderId="0" xfId="0" applyFont="1" applyFill="1" applyAlignment="1">
      <alignment horizontal="left"/>
    </xf>
    <xf numFmtId="165" fontId="20" fillId="0" borderId="0" xfId="0" applyNumberFormat="1" applyFont="1" applyFill="1" applyAlignment="1">
      <alignment horizontal="left"/>
    </xf>
    <xf numFmtId="0" fontId="11" fillId="0" borderId="0" xfId="0" applyFont="1" applyFill="1" applyBorder="1"/>
    <xf numFmtId="164" fontId="11" fillId="0" borderId="0" xfId="0" applyNumberFormat="1" applyFont="1" applyFill="1"/>
    <xf numFmtId="44" fontId="11" fillId="0" borderId="0" xfId="2" applyFont="1" applyFill="1"/>
    <xf numFmtId="164" fontId="18" fillId="0" borderId="0" xfId="1" applyNumberFormat="1" applyFont="1" applyFill="1"/>
    <xf numFmtId="0" fontId="0" fillId="0" borderId="0" xfId="0" applyBorder="1" applyAlignment="1">
      <alignment horizontal="center"/>
    </xf>
    <xf numFmtId="164" fontId="0" fillId="0" borderId="1" xfId="0" applyNumberFormat="1" applyBorder="1"/>
    <xf numFmtId="164" fontId="7" fillId="0" borderId="0" xfId="0" applyNumberFormat="1" applyFont="1" applyBorder="1"/>
    <xf numFmtId="164" fontId="2" fillId="0" borderId="0" xfId="1" applyNumberFormat="1" applyFont="1"/>
    <xf numFmtId="0" fontId="21" fillId="0" borderId="0" xfId="0" applyFont="1"/>
    <xf numFmtId="7" fontId="23" fillId="0" borderId="0" xfId="4" applyNumberFormat="1" applyFont="1" applyFill="1" applyAlignment="1">
      <alignment horizontal="right" vertical="center"/>
    </xf>
    <xf numFmtId="7" fontId="23" fillId="0" borderId="0" xfId="5" applyNumberFormat="1" applyFont="1" applyFill="1" applyBorder="1" applyAlignment="1" applyProtection="1"/>
    <xf numFmtId="7" fontId="23" fillId="0" borderId="0" xfId="5" applyNumberFormat="1" applyFont="1" applyAlignment="1">
      <alignment horizontal="right" vertical="center"/>
    </xf>
    <xf numFmtId="43" fontId="24" fillId="0" borderId="0" xfId="1" applyFont="1" applyFill="1" applyAlignment="1">
      <alignment horizontal="center"/>
    </xf>
    <xf numFmtId="43" fontId="24" fillId="0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6">
    <cellStyle name="Comma" xfId="1" builtinId="3"/>
    <cellStyle name="Comma 2" xfId="3"/>
    <cellStyle name="Currency" xfId="2" builtinId="4"/>
    <cellStyle name="Normal" xfId="0" builtinId="0"/>
    <cellStyle name="Normal_Sheet1 (2)" xfId="5"/>
    <cellStyle name="Normal_Sheet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\Association\FY19\York%20College%20Association%20Budget%20-%20%20Initial%20FY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 - Initial"/>
      <sheetName val="Referendums II"/>
      <sheetName val="Referendums"/>
      <sheetName val="Enrollment"/>
      <sheetName val="Fee Breakdown"/>
      <sheetName val="Administrative Fee"/>
    </sheetNames>
    <sheetDataSet>
      <sheetData sheetId="0"/>
      <sheetData sheetId="1"/>
      <sheetData sheetId="2">
        <row r="18">
          <cell r="G18">
            <v>243056.25</v>
          </cell>
        </row>
        <row r="29">
          <cell r="G29">
            <v>262741</v>
          </cell>
        </row>
        <row r="40">
          <cell r="G40">
            <v>63375</v>
          </cell>
        </row>
        <row r="52">
          <cell r="G52">
            <v>46588</v>
          </cell>
        </row>
        <row r="64">
          <cell r="G64">
            <v>38025</v>
          </cell>
        </row>
        <row r="75">
          <cell r="G75">
            <v>50700</v>
          </cell>
        </row>
        <row r="86">
          <cell r="G86">
            <v>25350</v>
          </cell>
        </row>
        <row r="97">
          <cell r="G97">
            <v>76050</v>
          </cell>
        </row>
        <row r="109">
          <cell r="G109">
            <v>42476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A91"/>
  <sheetViews>
    <sheetView tabSelected="1" topLeftCell="B1" zoomScaleNormal="100" workbookViewId="0">
      <selection activeCell="N15" sqref="N15"/>
    </sheetView>
  </sheetViews>
  <sheetFormatPr defaultRowHeight="15" x14ac:dyDescent="0.25"/>
  <cols>
    <col min="1" max="1" width="42.140625" style="44" customWidth="1"/>
    <col min="2" max="2" width="7.7109375" style="66" bestFit="1" customWidth="1"/>
    <col min="3" max="3" width="7" bestFit="1" customWidth="1"/>
    <col min="4" max="5" width="7" style="1" bestFit="1" customWidth="1"/>
    <col min="6" max="6" width="12.5703125" bestFit="1" customWidth="1"/>
    <col min="7" max="7" width="0.42578125" style="1" customWidth="1"/>
    <col min="8" max="8" width="10.5703125" customWidth="1"/>
    <col min="9" max="9" width="0.5703125" style="1" customWidth="1"/>
    <col min="10" max="10" width="10.7109375" customWidth="1"/>
    <col min="11" max="11" width="0.7109375" style="1" customWidth="1"/>
    <col min="12" max="12" width="12.28515625" bestFit="1" customWidth="1"/>
    <col min="13" max="13" width="12.28515625" style="4" bestFit="1" customWidth="1"/>
    <col min="14" max="14" width="9" bestFit="1" customWidth="1"/>
    <col min="15" max="15" width="10.5703125" style="4" customWidth="1"/>
    <col min="16" max="16" width="10.5703125" style="4" bestFit="1" customWidth="1"/>
    <col min="17" max="17" width="9" style="4" bestFit="1" customWidth="1"/>
    <col min="18" max="18" width="8" style="4" bestFit="1" customWidth="1"/>
    <col min="19" max="19" width="11.7109375" style="4" customWidth="1"/>
    <col min="20" max="20" width="8" style="4" bestFit="1" customWidth="1"/>
    <col min="21" max="21" width="10.7109375" customWidth="1"/>
    <col min="22" max="22" width="9.7109375" hidden="1" customWidth="1"/>
    <col min="23" max="23" width="10.5703125" hidden="1" customWidth="1"/>
    <col min="24" max="24" width="11" customWidth="1"/>
    <col min="25" max="25" width="9.7109375" bestFit="1" customWidth="1"/>
  </cols>
  <sheetData>
    <row r="1" spans="1:27" x14ac:dyDescent="0.25">
      <c r="A1" s="255" t="s">
        <v>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</row>
    <row r="2" spans="1:27" x14ac:dyDescent="0.25">
      <c r="A2" s="255" t="s">
        <v>236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</row>
    <row r="3" spans="1:27" s="4" customFormat="1" x14ac:dyDescent="0.25">
      <c r="A3" s="256" t="s">
        <v>299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</row>
    <row r="4" spans="1:27" s="4" customFormat="1" ht="9" customHeight="1" x14ac:dyDescent="0.25">
      <c r="A4" s="5"/>
      <c r="B4" s="5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7" s="4" customFormat="1" ht="65.25" thickBot="1" x14ac:dyDescent="0.3">
      <c r="A5" s="7" t="s">
        <v>3</v>
      </c>
      <c r="B5" s="58"/>
      <c r="C5" s="8" t="s">
        <v>235</v>
      </c>
      <c r="D5" s="133" t="s">
        <v>153</v>
      </c>
      <c r="E5" s="133" t="s">
        <v>154</v>
      </c>
      <c r="F5" s="10" t="s">
        <v>4</v>
      </c>
      <c r="G5" s="9"/>
      <c r="H5" s="10" t="s">
        <v>5</v>
      </c>
      <c r="I5" s="9"/>
      <c r="J5" s="11" t="s">
        <v>6</v>
      </c>
      <c r="K5" s="12"/>
      <c r="L5" s="8" t="s">
        <v>7</v>
      </c>
      <c r="M5" s="10" t="s">
        <v>8</v>
      </c>
      <c r="N5" s="10" t="s">
        <v>9</v>
      </c>
      <c r="O5" s="10" t="s">
        <v>10</v>
      </c>
      <c r="P5" s="10" t="s">
        <v>11</v>
      </c>
      <c r="Q5" s="10" t="s">
        <v>12</v>
      </c>
      <c r="R5" s="10" t="s">
        <v>13</v>
      </c>
      <c r="S5" s="10" t="s">
        <v>1</v>
      </c>
      <c r="T5" s="10" t="s">
        <v>14</v>
      </c>
      <c r="U5" s="11" t="s">
        <v>15</v>
      </c>
      <c r="W5" s="13" t="s">
        <v>16</v>
      </c>
      <c r="X5" s="14"/>
    </row>
    <row r="6" spans="1:27" s="4" customFormat="1" x14ac:dyDescent="0.25">
      <c r="A6" s="5" t="s">
        <v>143</v>
      </c>
      <c r="B6" s="132">
        <v>15</v>
      </c>
      <c r="C6" s="15">
        <f>+Enrollment!G9</f>
        <v>1644.3</v>
      </c>
      <c r="D6" s="15">
        <v>377</v>
      </c>
      <c r="E6" s="125">
        <f>+C6+D6</f>
        <v>2021.3</v>
      </c>
      <c r="F6" s="17">
        <f>+B6*E6</f>
        <v>30319.5</v>
      </c>
      <c r="G6" s="18"/>
      <c r="H6" s="18">
        <v>0</v>
      </c>
      <c r="I6" s="18"/>
      <c r="J6" s="19">
        <f>+F6+H6</f>
        <v>30319.5</v>
      </c>
      <c r="K6" s="18"/>
      <c r="L6" s="17">
        <f>+J6</f>
        <v>30319.5</v>
      </c>
      <c r="M6" s="18"/>
      <c r="N6" s="18"/>
      <c r="O6" s="18"/>
      <c r="P6" s="18"/>
      <c r="Q6" s="18"/>
      <c r="R6" s="18"/>
      <c r="S6" s="18"/>
      <c r="T6" s="18"/>
      <c r="U6" s="20">
        <f>SUM(L6:T6)</f>
        <v>30319.5</v>
      </c>
      <c r="W6" s="21">
        <v>18800</v>
      </c>
    </row>
    <row r="7" spans="1:27" s="218" customFormat="1" x14ac:dyDescent="0.25">
      <c r="A7" s="52" t="s">
        <v>15</v>
      </c>
      <c r="B7" s="64"/>
      <c r="C7" s="214">
        <f>SUM(C6)</f>
        <v>1644.3</v>
      </c>
      <c r="D7" s="214">
        <f t="shared" ref="D7:U7" si="0">SUM(D6)</f>
        <v>377</v>
      </c>
      <c r="E7" s="214">
        <f t="shared" si="0"/>
        <v>2021.3</v>
      </c>
      <c r="F7" s="214">
        <f t="shared" si="0"/>
        <v>30319.5</v>
      </c>
      <c r="G7" s="214">
        <f t="shared" si="0"/>
        <v>0</v>
      </c>
      <c r="H7" s="214">
        <f t="shared" si="0"/>
        <v>0</v>
      </c>
      <c r="I7" s="214">
        <f t="shared" si="0"/>
        <v>0</v>
      </c>
      <c r="J7" s="214">
        <f t="shared" si="0"/>
        <v>30319.5</v>
      </c>
      <c r="K7" s="214">
        <f t="shared" si="0"/>
        <v>0</v>
      </c>
      <c r="L7" s="214">
        <f t="shared" si="0"/>
        <v>30319.5</v>
      </c>
      <c r="M7" s="214">
        <f t="shared" si="0"/>
        <v>0</v>
      </c>
      <c r="N7" s="214">
        <f t="shared" si="0"/>
        <v>0</v>
      </c>
      <c r="O7" s="214">
        <f t="shared" si="0"/>
        <v>0</v>
      </c>
      <c r="P7" s="214">
        <f t="shared" si="0"/>
        <v>0</v>
      </c>
      <c r="Q7" s="214">
        <f t="shared" si="0"/>
        <v>0</v>
      </c>
      <c r="R7" s="214">
        <f t="shared" si="0"/>
        <v>0</v>
      </c>
      <c r="S7" s="214">
        <f t="shared" si="0"/>
        <v>0</v>
      </c>
      <c r="T7" s="214">
        <f t="shared" si="0"/>
        <v>0</v>
      </c>
      <c r="U7" s="214">
        <f t="shared" si="0"/>
        <v>30319.5</v>
      </c>
      <c r="V7" s="215">
        <f>J7-U7</f>
        <v>0</v>
      </c>
      <c r="W7" s="216">
        <f>SUM(W5:W6)</f>
        <v>18800</v>
      </c>
      <c r="X7" s="217"/>
    </row>
    <row r="8" spans="1:27" s="4" customFormat="1" hidden="1" x14ac:dyDescent="0.25">
      <c r="A8" s="5"/>
      <c r="B8" s="57"/>
      <c r="C8" s="15"/>
      <c r="D8" s="16"/>
      <c r="E8" s="16"/>
      <c r="F8" s="17"/>
      <c r="G8" s="18"/>
      <c r="H8" s="18"/>
      <c r="I8" s="18"/>
      <c r="J8" s="19"/>
      <c r="K8" s="18"/>
      <c r="L8" s="126">
        <f>+L17/U17</f>
        <v>0.30151844757389012</v>
      </c>
      <c r="M8" s="127">
        <f>+M17/U17</f>
        <v>0.30451410357200392</v>
      </c>
      <c r="N8" s="127">
        <f>+N17/U17</f>
        <v>7.2654771145027525E-2</v>
      </c>
      <c r="O8" s="127">
        <f>+O17/U17</f>
        <v>5.3881440346346739E-2</v>
      </c>
      <c r="P8" s="127">
        <f>+P17/U17</f>
        <v>4.3579787563667663E-2</v>
      </c>
      <c r="Q8" s="127">
        <f>+Q17/U17</f>
        <v>5.8078783922650999E-2</v>
      </c>
      <c r="R8" s="127">
        <f>+R17/U17</f>
        <v>2.90393919613255E-2</v>
      </c>
      <c r="S8" s="127">
        <f>+S17/U17</f>
        <v>8.7118175883976495E-2</v>
      </c>
      <c r="T8" s="127">
        <f>+T17/U17</f>
        <v>4.9615098031111089E-2</v>
      </c>
      <c r="U8" s="22"/>
      <c r="W8" s="21"/>
    </row>
    <row r="9" spans="1:27" s="4" customFormat="1" x14ac:dyDescent="0.25">
      <c r="A9" s="5" t="s">
        <v>17</v>
      </c>
      <c r="B9" s="57"/>
      <c r="C9" s="15"/>
      <c r="D9" s="16"/>
      <c r="E9" s="16"/>
      <c r="F9" s="17"/>
      <c r="G9" s="18"/>
      <c r="H9" s="18"/>
      <c r="I9" s="18"/>
      <c r="J9" s="19"/>
      <c r="K9" s="18"/>
      <c r="L9" s="131"/>
      <c r="U9" s="22"/>
      <c r="W9" s="21"/>
    </row>
    <row r="10" spans="1:27" s="4" customFormat="1" x14ac:dyDescent="0.25">
      <c r="A10" s="5" t="s">
        <v>46</v>
      </c>
      <c r="B10" s="132">
        <v>72.150000000000006</v>
      </c>
      <c r="C10" s="15">
        <f>+Enrollment!G13</f>
        <v>4708.8</v>
      </c>
      <c r="D10" s="15">
        <v>484</v>
      </c>
      <c r="E10" s="125">
        <f t="shared" ref="E10:E11" si="1">+C10+D10</f>
        <v>5192.8</v>
      </c>
      <c r="F10" s="17">
        <f>+E10*B10</f>
        <v>374660.52</v>
      </c>
      <c r="G10" s="18"/>
      <c r="H10" s="18">
        <v>0</v>
      </c>
      <c r="I10" s="18"/>
      <c r="J10" s="19">
        <f>+F10+H10</f>
        <v>374660.52</v>
      </c>
      <c r="K10" s="18"/>
      <c r="L10" s="17">
        <f>E10*21.15</f>
        <v>109827.72</v>
      </c>
      <c r="M10" s="18">
        <f>E10*23</f>
        <v>119434.40000000001</v>
      </c>
      <c r="N10" s="18">
        <f>E10*5</f>
        <v>25964</v>
      </c>
      <c r="O10" s="18">
        <f>E10*4</f>
        <v>20771.2</v>
      </c>
      <c r="P10" s="18">
        <f>E10*3</f>
        <v>15578.400000000001</v>
      </c>
      <c r="Q10" s="18">
        <f>E10*4</f>
        <v>20771.2</v>
      </c>
      <c r="R10" s="18">
        <f>E10*2</f>
        <v>10385.6</v>
      </c>
      <c r="S10" s="18">
        <f>+E10*6</f>
        <v>31156.800000000003</v>
      </c>
      <c r="T10" s="18">
        <f>E10*4</f>
        <v>20771.2</v>
      </c>
      <c r="U10" s="23">
        <f>SUM(L10:T10)</f>
        <v>374660.52</v>
      </c>
      <c r="V10" s="24">
        <f>J10-U10</f>
        <v>0</v>
      </c>
      <c r="W10" s="21">
        <v>306741</v>
      </c>
    </row>
    <row r="11" spans="1:27" s="4" customFormat="1" x14ac:dyDescent="0.25">
      <c r="A11" s="5" t="s">
        <v>47</v>
      </c>
      <c r="B11" s="132">
        <v>52.15</v>
      </c>
      <c r="C11" s="15">
        <f>+Enrollment!G14</f>
        <v>1935.9</v>
      </c>
      <c r="D11" s="15">
        <v>-3</v>
      </c>
      <c r="E11" s="125">
        <f t="shared" si="1"/>
        <v>1932.9</v>
      </c>
      <c r="F11" s="17">
        <f>+E11*B11</f>
        <v>100800.735</v>
      </c>
      <c r="G11" s="18"/>
      <c r="H11" s="18">
        <v>0</v>
      </c>
      <c r="I11" s="18"/>
      <c r="J11" s="19">
        <f>+F11+H11</f>
        <v>100800.735</v>
      </c>
      <c r="K11" s="18"/>
      <c r="L11" s="17">
        <f>E11*11.15</f>
        <v>21551.835000000003</v>
      </c>
      <c r="M11" s="18">
        <f>E11*16</f>
        <v>30926.400000000001</v>
      </c>
      <c r="N11" s="18">
        <f>E11*5</f>
        <v>9664.5</v>
      </c>
      <c r="O11" s="18">
        <f>E11*3</f>
        <v>5798.7000000000007</v>
      </c>
      <c r="P11" s="18">
        <f>E11*3</f>
        <v>5798.7000000000007</v>
      </c>
      <c r="Q11" s="18">
        <f>E11*4</f>
        <v>7731.6</v>
      </c>
      <c r="R11" s="18">
        <f>E11*2</f>
        <v>3865.8</v>
      </c>
      <c r="S11" s="18">
        <f>+E11*6</f>
        <v>11597.400000000001</v>
      </c>
      <c r="T11" s="18">
        <f>E11*2</f>
        <v>3865.8</v>
      </c>
      <c r="U11" s="23">
        <f>SUM(L11:T11)</f>
        <v>100800.735</v>
      </c>
      <c r="V11" s="24">
        <f>J11-U11</f>
        <v>0</v>
      </c>
      <c r="W11" s="21">
        <v>94866</v>
      </c>
    </row>
    <row r="12" spans="1:27" s="218" customFormat="1" x14ac:dyDescent="0.25">
      <c r="A12" s="52" t="s">
        <v>15</v>
      </c>
      <c r="B12" s="64"/>
      <c r="C12" s="214">
        <f>SUM(C10:C11)</f>
        <v>6644.7000000000007</v>
      </c>
      <c r="D12" s="214">
        <f t="shared" ref="D12:E12" si="2">SUM(D10:D11)</f>
        <v>481</v>
      </c>
      <c r="E12" s="214">
        <f t="shared" si="2"/>
        <v>7125.7000000000007</v>
      </c>
      <c r="F12" s="49">
        <f>SUM(F10:F11)</f>
        <v>475461.255</v>
      </c>
      <c r="G12" s="219"/>
      <c r="H12" s="50">
        <f>SUM(H10:H11)</f>
        <v>0</v>
      </c>
      <c r="I12" s="219"/>
      <c r="J12" s="32">
        <f>SUM(J10:J11)</f>
        <v>475461.255</v>
      </c>
      <c r="K12" s="219"/>
      <c r="L12" s="49">
        <f t="shared" ref="L12:T12" si="3">SUM(L10:L11)</f>
        <v>131379.55499999999</v>
      </c>
      <c r="M12" s="50">
        <f t="shared" si="3"/>
        <v>150360.80000000002</v>
      </c>
      <c r="N12" s="50">
        <f t="shared" si="3"/>
        <v>35628.5</v>
      </c>
      <c r="O12" s="50">
        <f t="shared" si="3"/>
        <v>26569.9</v>
      </c>
      <c r="P12" s="50">
        <f t="shared" si="3"/>
        <v>21377.100000000002</v>
      </c>
      <c r="Q12" s="50">
        <f t="shared" si="3"/>
        <v>28502.800000000003</v>
      </c>
      <c r="R12" s="50">
        <f t="shared" si="3"/>
        <v>14251.400000000001</v>
      </c>
      <c r="S12" s="50">
        <f t="shared" si="3"/>
        <v>42754.200000000004</v>
      </c>
      <c r="T12" s="50">
        <f t="shared" si="3"/>
        <v>24637</v>
      </c>
      <c r="U12" s="29">
        <f>SUM(U10:U11)</f>
        <v>475461.255</v>
      </c>
      <c r="V12" s="215">
        <f>J12-U12</f>
        <v>0</v>
      </c>
      <c r="W12" s="216">
        <f>SUM(W10:W11)</f>
        <v>401607</v>
      </c>
      <c r="X12" s="217"/>
    </row>
    <row r="13" spans="1:27" s="4" customFormat="1" x14ac:dyDescent="0.25">
      <c r="A13" s="5" t="s">
        <v>18</v>
      </c>
      <c r="B13" s="57"/>
      <c r="C13" s="15"/>
      <c r="D13" s="16"/>
      <c r="E13" s="16"/>
      <c r="F13" s="17"/>
      <c r="G13" s="18"/>
      <c r="H13" s="18"/>
      <c r="I13" s="18"/>
      <c r="J13" s="19"/>
      <c r="K13" s="18"/>
      <c r="L13" s="17"/>
      <c r="M13" s="18"/>
      <c r="N13" s="18"/>
      <c r="O13" s="18"/>
      <c r="P13" s="18"/>
      <c r="Q13" s="18"/>
      <c r="R13" s="18"/>
      <c r="S13" s="18"/>
      <c r="T13" s="18"/>
      <c r="U13" s="22"/>
      <c r="W13" s="21"/>
    </row>
    <row r="14" spans="1:27" s="4" customFormat="1" x14ac:dyDescent="0.25">
      <c r="A14" s="5" t="s">
        <v>46</v>
      </c>
      <c r="B14" s="132">
        <v>72.150000000000006</v>
      </c>
      <c r="C14" s="15">
        <f>+Enrollment!G18</f>
        <v>4105.8</v>
      </c>
      <c r="D14" s="125">
        <v>0</v>
      </c>
      <c r="E14" s="125">
        <f>+C14+D14</f>
        <v>4105.8</v>
      </c>
      <c r="F14" s="17">
        <f>+E14*B14</f>
        <v>296233.47000000003</v>
      </c>
      <c r="G14" s="18"/>
      <c r="H14" s="18">
        <v>-56284</v>
      </c>
      <c r="I14" s="18"/>
      <c r="J14" s="19">
        <f>+F14+H14</f>
        <v>239949.47000000003</v>
      </c>
      <c r="K14" s="18"/>
      <c r="L14" s="17">
        <f>(E14*21.15)*81%</f>
        <v>70338.512700000007</v>
      </c>
      <c r="M14" s="18">
        <f>(E14*23)*81%</f>
        <v>76491.054000000018</v>
      </c>
      <c r="N14" s="18">
        <f>(E14*5)*81%-1</f>
        <v>16627.490000000002</v>
      </c>
      <c r="O14" s="18">
        <f>(E14*4)*81%</f>
        <v>13302.792000000001</v>
      </c>
      <c r="P14" s="18">
        <f>(E14*3)*81%</f>
        <v>9977.094000000001</v>
      </c>
      <c r="Q14" s="18">
        <f>(E14*4)*81%</f>
        <v>13302.792000000001</v>
      </c>
      <c r="R14" s="18">
        <f>(E14*2)*81%</f>
        <v>6651.3960000000006</v>
      </c>
      <c r="S14" s="18">
        <f>(E14*6)*81%</f>
        <v>19954.188000000002</v>
      </c>
      <c r="T14" s="18">
        <f>(E14*4)*81%</f>
        <v>13302.792000000001</v>
      </c>
      <c r="U14" s="23">
        <f>SUM(L14:T14)+1</f>
        <v>239949.11070000002</v>
      </c>
      <c r="V14" s="24">
        <f>J14-U14</f>
        <v>0.35930000001098961</v>
      </c>
      <c r="W14" s="21">
        <v>278337</v>
      </c>
      <c r="AA14" s="4" t="s">
        <v>19</v>
      </c>
    </row>
    <row r="15" spans="1:27" s="4" customFormat="1" x14ac:dyDescent="0.25">
      <c r="A15" s="5" t="s">
        <v>47</v>
      </c>
      <c r="B15" s="132">
        <v>52.15</v>
      </c>
      <c r="C15" s="15">
        <f>+Enrollment!G19</f>
        <v>1904.4</v>
      </c>
      <c r="D15" s="125">
        <v>0</v>
      </c>
      <c r="E15" s="125">
        <f>+C15+D15</f>
        <v>1904.4</v>
      </c>
      <c r="F15" s="17">
        <f>+E15*B15</f>
        <v>99314.46</v>
      </c>
      <c r="G15" s="18"/>
      <c r="H15" s="18">
        <v>-17028</v>
      </c>
      <c r="I15" s="18"/>
      <c r="J15" s="19">
        <f>+F15+H15</f>
        <v>82286.460000000006</v>
      </c>
      <c r="K15" s="18"/>
      <c r="L15" s="17">
        <f>(E15*11.15)*83%</f>
        <v>17624.269800000002</v>
      </c>
      <c r="M15" s="18">
        <f>(E15*16)*83%</f>
        <v>25290.432000000001</v>
      </c>
      <c r="N15" s="18">
        <f>(E15*5)*83%</f>
        <v>7903.2599999999993</v>
      </c>
      <c r="O15" s="18">
        <f>(E15*3)*83%</f>
        <v>4741.9560000000001</v>
      </c>
      <c r="P15" s="18">
        <f>(E15*3)*82.8%</f>
        <v>4730.5296000000008</v>
      </c>
      <c r="Q15" s="18">
        <f>(E15*4)*82.5%</f>
        <v>6284.5199999999995</v>
      </c>
      <c r="R15" s="18">
        <f>(E15*2)*82.5%</f>
        <v>3142.2599999999998</v>
      </c>
      <c r="S15" s="18">
        <f>(E15*6)*82.5%</f>
        <v>9426.7800000000007</v>
      </c>
      <c r="T15" s="18">
        <f>(E15*2)*82.5%</f>
        <v>3142.2599999999998</v>
      </c>
      <c r="U15" s="23">
        <f t="shared" ref="U15:U22" si="4">SUM(L15:T15)</f>
        <v>82286.267399999997</v>
      </c>
      <c r="V15" s="24">
        <f>J15-U15</f>
        <v>0.19260000000940636</v>
      </c>
      <c r="W15" s="21">
        <v>101891</v>
      </c>
    </row>
    <row r="16" spans="1:27" s="218" customFormat="1" x14ac:dyDescent="0.25">
      <c r="A16" s="52" t="s">
        <v>15</v>
      </c>
      <c r="B16" s="64"/>
      <c r="C16" s="214">
        <f>SUM(C14:C15)</f>
        <v>6010.2000000000007</v>
      </c>
      <c r="D16" s="214">
        <f>SUM(D14:D15)</f>
        <v>0</v>
      </c>
      <c r="E16" s="214">
        <f>SUM(E14:E15)</f>
        <v>6010.2000000000007</v>
      </c>
      <c r="F16" s="49">
        <f>SUM(F14:F15)</f>
        <v>395547.93000000005</v>
      </c>
      <c r="G16" s="219"/>
      <c r="H16" s="50">
        <f>SUM(H14:H15)</f>
        <v>-73312</v>
      </c>
      <c r="I16" s="219"/>
      <c r="J16" s="32">
        <f>SUM(J14:J15)</f>
        <v>322235.93000000005</v>
      </c>
      <c r="K16" s="219"/>
      <c r="L16" s="49">
        <f t="shared" ref="L16:T16" si="5">SUM(L14:L15)</f>
        <v>87962.782500000001</v>
      </c>
      <c r="M16" s="50">
        <f t="shared" si="5"/>
        <v>101781.48600000002</v>
      </c>
      <c r="N16" s="50">
        <f t="shared" si="5"/>
        <v>24530.75</v>
      </c>
      <c r="O16" s="50">
        <f t="shared" si="5"/>
        <v>18044.748</v>
      </c>
      <c r="P16" s="50">
        <f t="shared" si="5"/>
        <v>14707.623600000003</v>
      </c>
      <c r="Q16" s="50">
        <f t="shared" si="5"/>
        <v>19587.312000000002</v>
      </c>
      <c r="R16" s="50">
        <f t="shared" si="5"/>
        <v>9793.6560000000009</v>
      </c>
      <c r="S16" s="50">
        <f t="shared" si="5"/>
        <v>29380.968000000001</v>
      </c>
      <c r="T16" s="50">
        <f t="shared" si="5"/>
        <v>16445.052</v>
      </c>
      <c r="U16" s="29">
        <f>SUM(U14:U15)-1</f>
        <v>322234.37810000003</v>
      </c>
      <c r="V16" s="215">
        <f>J16-U16</f>
        <v>1.551900000020396</v>
      </c>
      <c r="W16" s="216">
        <f>SUM(W14:W15)</f>
        <v>380228</v>
      </c>
      <c r="X16" s="217"/>
    </row>
    <row r="17" spans="1:24" s="218" customFormat="1" x14ac:dyDescent="0.25">
      <c r="A17" s="52" t="s">
        <v>20</v>
      </c>
      <c r="B17" s="220"/>
      <c r="C17" s="219"/>
      <c r="D17" s="221"/>
      <c r="E17" s="221"/>
      <c r="F17" s="222">
        <f>+F12+F16+F7</f>
        <v>901328.68500000006</v>
      </c>
      <c r="G17" s="223"/>
      <c r="H17" s="223">
        <f t="shared" ref="H17:V17" si="6">H6+H12+H16</f>
        <v>-73312</v>
      </c>
      <c r="I17" s="223">
        <f t="shared" si="6"/>
        <v>0</v>
      </c>
      <c r="J17" s="222">
        <f>+J12+J16+J7</f>
        <v>828016.68500000006</v>
      </c>
      <c r="K17" s="223">
        <f t="shared" si="6"/>
        <v>0</v>
      </c>
      <c r="L17" s="222">
        <f t="shared" ref="L17:U17" si="7">+L12+L16+L7</f>
        <v>249661.83749999999</v>
      </c>
      <c r="M17" s="222">
        <f t="shared" si="7"/>
        <v>252142.28600000002</v>
      </c>
      <c r="N17" s="222">
        <f t="shared" si="7"/>
        <v>60159.25</v>
      </c>
      <c r="O17" s="222">
        <f t="shared" si="7"/>
        <v>44614.648000000001</v>
      </c>
      <c r="P17" s="222">
        <f t="shared" si="7"/>
        <v>36084.723600000005</v>
      </c>
      <c r="Q17" s="222">
        <f t="shared" si="7"/>
        <v>48090.112000000008</v>
      </c>
      <c r="R17" s="222">
        <f t="shared" si="7"/>
        <v>24045.056000000004</v>
      </c>
      <c r="S17" s="222">
        <f t="shared" si="7"/>
        <v>72135.168000000005</v>
      </c>
      <c r="T17" s="222">
        <f t="shared" si="7"/>
        <v>41082.051999999996</v>
      </c>
      <c r="U17" s="214">
        <f t="shared" si="7"/>
        <v>828015.13309999998</v>
      </c>
      <c r="V17" s="223">
        <f t="shared" si="6"/>
        <v>1.551900000020396</v>
      </c>
      <c r="W17" s="223">
        <f>W6+W12+W16</f>
        <v>800635</v>
      </c>
      <c r="X17" s="217"/>
    </row>
    <row r="18" spans="1:24" s="4" customFormat="1" x14ac:dyDescent="0.25">
      <c r="A18" s="5" t="s">
        <v>21</v>
      </c>
      <c r="B18" s="146"/>
      <c r="C18" s="18"/>
      <c r="D18" s="16"/>
      <c r="E18" s="16"/>
      <c r="F18" s="17">
        <v>1600</v>
      </c>
      <c r="G18" s="18"/>
      <c r="H18" s="18">
        <v>-900</v>
      </c>
      <c r="I18" s="18"/>
      <c r="J18" s="19">
        <f>+F18+H18</f>
        <v>700</v>
      </c>
      <c r="K18" s="18"/>
      <c r="L18" s="17">
        <v>0</v>
      </c>
      <c r="M18" s="18">
        <v>0</v>
      </c>
      <c r="N18" s="18">
        <v>0</v>
      </c>
      <c r="O18" s="18">
        <v>0</v>
      </c>
      <c r="P18" s="18">
        <f>1600-900</f>
        <v>700</v>
      </c>
      <c r="Q18" s="18">
        <v>0</v>
      </c>
      <c r="R18" s="18">
        <v>0</v>
      </c>
      <c r="S18" s="18">
        <v>0</v>
      </c>
      <c r="T18" s="18">
        <v>0</v>
      </c>
      <c r="U18" s="19">
        <f t="shared" si="4"/>
        <v>700</v>
      </c>
      <c r="W18" s="21">
        <v>1500</v>
      </c>
    </row>
    <row r="19" spans="1:24" s="4" customFormat="1" x14ac:dyDescent="0.25">
      <c r="A19" s="16" t="s">
        <v>283</v>
      </c>
      <c r="B19" s="146"/>
      <c r="C19" s="18"/>
      <c r="D19" s="16"/>
      <c r="E19" s="16"/>
      <c r="F19" s="17">
        <v>0</v>
      </c>
      <c r="G19" s="18"/>
      <c r="H19" s="18">
        <f>74071+291400</f>
        <v>365471</v>
      </c>
      <c r="I19" s="18"/>
      <c r="J19" s="19">
        <f>+F19+H19</f>
        <v>365471</v>
      </c>
      <c r="K19" s="18"/>
      <c r="L19" s="17">
        <f>291400</f>
        <v>291400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74071</v>
      </c>
      <c r="T19" s="18">
        <v>0</v>
      </c>
      <c r="U19" s="19">
        <f>SUM(L19:T19)</f>
        <v>365471</v>
      </c>
      <c r="W19" s="21">
        <v>0</v>
      </c>
    </row>
    <row r="20" spans="1:24" s="4" customFormat="1" x14ac:dyDescent="0.25">
      <c r="A20" s="16" t="s">
        <v>280</v>
      </c>
      <c r="B20" s="146"/>
      <c r="C20" s="18"/>
      <c r="D20" s="16"/>
      <c r="E20" s="16"/>
      <c r="F20" s="17"/>
      <c r="G20" s="18"/>
      <c r="H20" s="18">
        <v>70000</v>
      </c>
      <c r="I20" s="18"/>
      <c r="J20" s="19">
        <f t="shared" ref="J20:J22" si="8">+F20+H20</f>
        <v>70000</v>
      </c>
      <c r="K20" s="18"/>
      <c r="L20" s="17">
        <v>70000</v>
      </c>
      <c r="M20" s="18"/>
      <c r="N20" s="18"/>
      <c r="O20" s="18"/>
      <c r="P20" s="18"/>
      <c r="Q20" s="18"/>
      <c r="R20" s="18"/>
      <c r="S20" s="18"/>
      <c r="T20" s="18"/>
      <c r="U20" s="19">
        <f t="shared" ref="U20:U21" si="9">SUM(L20:T20)</f>
        <v>70000</v>
      </c>
      <c r="W20" s="21"/>
    </row>
    <row r="21" spans="1:24" s="4" customFormat="1" x14ac:dyDescent="0.25">
      <c r="A21" s="16" t="s">
        <v>281</v>
      </c>
      <c r="B21" s="146"/>
      <c r="C21" s="18"/>
      <c r="D21" s="16"/>
      <c r="E21" s="16"/>
      <c r="F21" s="17"/>
      <c r="G21" s="18"/>
      <c r="H21" s="18">
        <v>5000</v>
      </c>
      <c r="I21" s="18"/>
      <c r="J21" s="19">
        <f t="shared" si="8"/>
        <v>5000</v>
      </c>
      <c r="K21" s="18"/>
      <c r="L21" s="17">
        <v>5000</v>
      </c>
      <c r="M21" s="18"/>
      <c r="N21" s="18"/>
      <c r="O21" s="18"/>
      <c r="P21" s="18"/>
      <c r="Q21" s="18"/>
      <c r="R21" s="18"/>
      <c r="S21" s="18"/>
      <c r="T21" s="18"/>
      <c r="U21" s="19">
        <f t="shared" si="9"/>
        <v>5000</v>
      </c>
      <c r="W21" s="21"/>
    </row>
    <row r="22" spans="1:24" s="4" customFormat="1" x14ac:dyDescent="0.25">
      <c r="A22" s="16" t="s">
        <v>282</v>
      </c>
      <c r="B22" s="146"/>
      <c r="C22" s="18"/>
      <c r="D22" s="16"/>
      <c r="E22" s="16"/>
      <c r="F22" s="17"/>
      <c r="G22" s="18"/>
      <c r="H22" s="18">
        <v>27000</v>
      </c>
      <c r="I22" s="18"/>
      <c r="J22" s="19">
        <f t="shared" si="8"/>
        <v>27000</v>
      </c>
      <c r="K22" s="18"/>
      <c r="L22" s="17">
        <v>27000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9">
        <f t="shared" si="4"/>
        <v>27000</v>
      </c>
      <c r="W22" s="21">
        <v>0</v>
      </c>
    </row>
    <row r="23" spans="1:24" s="218" customFormat="1" x14ac:dyDescent="0.25">
      <c r="A23" s="52" t="s">
        <v>23</v>
      </c>
      <c r="B23" s="220"/>
      <c r="C23" s="219"/>
      <c r="D23" s="221"/>
      <c r="E23" s="221"/>
      <c r="F23" s="49">
        <f>+F17+F18</f>
        <v>902928.68500000006</v>
      </c>
      <c r="G23" s="219"/>
      <c r="H23" s="50">
        <f t="shared" ref="H23:V23" si="10">SUM(H17:H22)</f>
        <v>393259</v>
      </c>
      <c r="I23" s="50">
        <f t="shared" si="10"/>
        <v>0</v>
      </c>
      <c r="J23" s="32">
        <f>SUM(J17:J22)</f>
        <v>1296187.6850000001</v>
      </c>
      <c r="K23" s="50">
        <f t="shared" si="10"/>
        <v>0</v>
      </c>
      <c r="L23" s="49">
        <f t="shared" si="10"/>
        <v>643061.83750000002</v>
      </c>
      <c r="M23" s="50">
        <f t="shared" si="10"/>
        <v>252142.28600000002</v>
      </c>
      <c r="N23" s="50">
        <f t="shared" si="10"/>
        <v>60159.25</v>
      </c>
      <c r="O23" s="50">
        <f t="shared" si="10"/>
        <v>44614.648000000001</v>
      </c>
      <c r="P23" s="50">
        <f t="shared" si="10"/>
        <v>36784.723600000005</v>
      </c>
      <c r="Q23" s="50">
        <f>SUM(Q17:Q22)</f>
        <v>48090.112000000008</v>
      </c>
      <c r="R23" s="50">
        <f t="shared" si="10"/>
        <v>24045.056000000004</v>
      </c>
      <c r="S23" s="50">
        <f t="shared" si="10"/>
        <v>146206.16800000001</v>
      </c>
      <c r="T23" s="50">
        <f t="shared" si="10"/>
        <v>41082.051999999996</v>
      </c>
      <c r="U23" s="32">
        <f>SUM(U17:U22)</f>
        <v>1296186.1331</v>
      </c>
      <c r="V23" s="50">
        <f t="shared" si="10"/>
        <v>1.551900000020396</v>
      </c>
      <c r="W23" s="50">
        <f>SUM(W17:W22)</f>
        <v>802135</v>
      </c>
    </row>
    <row r="24" spans="1:24" s="4" customFormat="1" x14ac:dyDescent="0.25">
      <c r="A24" s="5"/>
      <c r="B24" s="146"/>
      <c r="C24" s="18"/>
      <c r="D24" s="16"/>
      <c r="E24" s="16"/>
      <c r="F24" s="18"/>
      <c r="G24" s="18"/>
      <c r="H24" s="18"/>
      <c r="I24" s="18"/>
      <c r="J24" s="19"/>
      <c r="K24" s="18"/>
      <c r="L24" s="17"/>
      <c r="M24" s="18"/>
      <c r="N24" s="18"/>
      <c r="O24" s="18"/>
      <c r="P24" s="18"/>
      <c r="Q24" s="18"/>
      <c r="R24" s="18"/>
      <c r="S24" s="18"/>
      <c r="T24" s="18"/>
      <c r="U24" s="145"/>
      <c r="V24" s="18"/>
      <c r="W24" s="18"/>
    </row>
    <row r="25" spans="1:24" s="4" customFormat="1" x14ac:dyDescent="0.25">
      <c r="A25" s="52" t="s">
        <v>155</v>
      </c>
      <c r="B25" s="146"/>
      <c r="C25" s="16"/>
      <c r="D25" s="16"/>
      <c r="E25" s="16"/>
      <c r="F25" s="18"/>
      <c r="G25" s="18"/>
      <c r="H25" s="18"/>
      <c r="I25" s="18"/>
      <c r="J25" s="19"/>
      <c r="K25" s="18"/>
      <c r="L25" s="17"/>
      <c r="M25" s="18"/>
      <c r="N25" s="18"/>
      <c r="O25" s="18"/>
      <c r="P25" s="18"/>
      <c r="Q25" s="18"/>
      <c r="R25" s="18"/>
      <c r="S25" s="18"/>
      <c r="T25" s="18"/>
      <c r="U25" s="22"/>
      <c r="W25" s="21"/>
    </row>
    <row r="26" spans="1:24" s="4" customFormat="1" x14ac:dyDescent="0.25">
      <c r="A26" s="33" t="s">
        <v>24</v>
      </c>
      <c r="B26" s="59"/>
      <c r="C26" s="144"/>
      <c r="D26" s="144"/>
      <c r="E26" s="138"/>
      <c r="F26" s="17">
        <v>80000</v>
      </c>
      <c r="G26" s="18"/>
      <c r="H26" s="18">
        <v>0</v>
      </c>
      <c r="I26" s="18"/>
      <c r="J26" s="19">
        <f t="shared" ref="J26:J48" si="11">+F26+H26</f>
        <v>80000</v>
      </c>
      <c r="K26" s="18"/>
      <c r="L26" s="17">
        <v>23000</v>
      </c>
      <c r="M26" s="18">
        <v>24800</v>
      </c>
      <c r="N26" s="18">
        <v>6000</v>
      </c>
      <c r="O26" s="18">
        <v>4400</v>
      </c>
      <c r="P26" s="18">
        <v>3600</v>
      </c>
      <c r="Q26" s="18">
        <v>4800</v>
      </c>
      <c r="R26" s="18">
        <v>2400</v>
      </c>
      <c r="S26" s="18">
        <v>7000</v>
      </c>
      <c r="T26" s="18">
        <v>4000</v>
      </c>
      <c r="U26" s="23">
        <f>SUM(L26:T26)</f>
        <v>80000</v>
      </c>
      <c r="V26" s="34">
        <f t="shared" ref="V26:V36" si="12">J26-U26</f>
        <v>0</v>
      </c>
      <c r="W26" s="21">
        <v>80000</v>
      </c>
    </row>
    <row r="27" spans="1:24" s="4" customFormat="1" x14ac:dyDescent="0.25">
      <c r="A27" s="33" t="s">
        <v>25</v>
      </c>
      <c r="B27" s="59"/>
      <c r="C27" s="134"/>
      <c r="D27" s="134"/>
      <c r="E27" s="139"/>
      <c r="F27" s="17">
        <v>4125</v>
      </c>
      <c r="G27" s="18"/>
      <c r="H27" s="18">
        <v>0</v>
      </c>
      <c r="I27" s="18"/>
      <c r="J27" s="19">
        <f t="shared" si="11"/>
        <v>4125</v>
      </c>
      <c r="K27" s="18"/>
      <c r="L27" s="17">
        <f>+J27</f>
        <v>4125</v>
      </c>
      <c r="M27" s="18"/>
      <c r="N27" s="18"/>
      <c r="O27" s="18"/>
      <c r="P27" s="18"/>
      <c r="Q27" s="18"/>
      <c r="R27" s="18"/>
      <c r="S27" s="18"/>
      <c r="T27" s="18"/>
      <c r="U27" s="23">
        <f t="shared" ref="U27:U60" si="13">SUM(L27:T27)</f>
        <v>4125</v>
      </c>
      <c r="V27" s="34">
        <f t="shared" si="12"/>
        <v>0</v>
      </c>
      <c r="W27" s="21">
        <v>4125</v>
      </c>
    </row>
    <row r="28" spans="1:24" s="4" customFormat="1" x14ac:dyDescent="0.25">
      <c r="A28" s="33" t="s">
        <v>26</v>
      </c>
      <c r="B28" s="59"/>
      <c r="C28" s="134"/>
      <c r="D28" s="134"/>
      <c r="E28" s="139"/>
      <c r="F28" s="17">
        <v>9000</v>
      </c>
      <c r="G28" s="18"/>
      <c r="H28" s="18">
        <v>0</v>
      </c>
      <c r="I28" s="18"/>
      <c r="J28" s="19">
        <f t="shared" si="11"/>
        <v>9000</v>
      </c>
      <c r="K28" s="18"/>
      <c r="L28" s="17">
        <f t="shared" ref="L28:L51" si="14">+J28</f>
        <v>9000</v>
      </c>
      <c r="M28" s="18"/>
      <c r="N28" s="18"/>
      <c r="O28" s="18"/>
      <c r="P28" s="18"/>
      <c r="Q28" s="18"/>
      <c r="R28" s="18"/>
      <c r="S28" s="18"/>
      <c r="T28" s="18"/>
      <c r="U28" s="23">
        <f t="shared" si="13"/>
        <v>9000</v>
      </c>
      <c r="V28" s="34">
        <f t="shared" si="12"/>
        <v>0</v>
      </c>
      <c r="W28" s="21">
        <v>8500</v>
      </c>
    </row>
    <row r="29" spans="1:24" s="4" customFormat="1" x14ac:dyDescent="0.25">
      <c r="A29" s="33" t="s">
        <v>27</v>
      </c>
      <c r="B29" s="59"/>
      <c r="C29" s="134"/>
      <c r="D29" s="134"/>
      <c r="E29" s="139"/>
      <c r="F29" s="17">
        <v>6000</v>
      </c>
      <c r="G29" s="18"/>
      <c r="H29" s="18">
        <v>0</v>
      </c>
      <c r="I29" s="18"/>
      <c r="J29" s="19">
        <f t="shared" si="11"/>
        <v>6000</v>
      </c>
      <c r="K29" s="18"/>
      <c r="L29" s="17">
        <f t="shared" si="14"/>
        <v>6000</v>
      </c>
      <c r="M29" s="18"/>
      <c r="N29" s="18"/>
      <c r="O29" s="18"/>
      <c r="P29" s="18"/>
      <c r="Q29" s="18"/>
      <c r="R29" s="18"/>
      <c r="S29" s="18"/>
      <c r="T29" s="18"/>
      <c r="U29" s="23">
        <f t="shared" si="13"/>
        <v>6000</v>
      </c>
      <c r="V29" s="34">
        <f t="shared" si="12"/>
        <v>0</v>
      </c>
      <c r="W29" s="21">
        <v>5400</v>
      </c>
    </row>
    <row r="30" spans="1:24" s="4" customFormat="1" x14ac:dyDescent="0.25">
      <c r="A30" s="35" t="s">
        <v>28</v>
      </c>
      <c r="B30" s="60"/>
      <c r="C30" s="134"/>
      <c r="D30" s="134"/>
      <c r="E30" s="139"/>
      <c r="F30" s="17">
        <v>1181</v>
      </c>
      <c r="G30" s="18"/>
      <c r="H30" s="18">
        <v>0</v>
      </c>
      <c r="I30" s="18"/>
      <c r="J30" s="19">
        <f t="shared" si="11"/>
        <v>1181</v>
      </c>
      <c r="K30" s="18"/>
      <c r="L30" s="17">
        <f t="shared" si="14"/>
        <v>1181</v>
      </c>
      <c r="M30" s="18"/>
      <c r="N30" s="18"/>
      <c r="O30" s="18"/>
      <c r="P30" s="18"/>
      <c r="Q30" s="18"/>
      <c r="R30" s="18"/>
      <c r="S30" s="18"/>
      <c r="T30" s="18"/>
      <c r="U30" s="23">
        <f t="shared" si="13"/>
        <v>1181</v>
      </c>
      <c r="V30" s="34">
        <f t="shared" si="12"/>
        <v>0</v>
      </c>
      <c r="W30" s="21">
        <v>1181</v>
      </c>
    </row>
    <row r="31" spans="1:24" s="4" customFormat="1" x14ac:dyDescent="0.25">
      <c r="A31" s="35" t="s">
        <v>29</v>
      </c>
      <c r="B31" s="60"/>
      <c r="C31" s="134"/>
      <c r="D31" s="134"/>
      <c r="E31" s="139"/>
      <c r="F31" s="17">
        <v>2000</v>
      </c>
      <c r="G31" s="18"/>
      <c r="H31" s="18">
        <v>0</v>
      </c>
      <c r="I31" s="18"/>
      <c r="J31" s="19">
        <f t="shared" si="11"/>
        <v>2000</v>
      </c>
      <c r="K31" s="18"/>
      <c r="L31" s="17">
        <f t="shared" si="14"/>
        <v>2000</v>
      </c>
      <c r="M31" s="18"/>
      <c r="N31" s="18"/>
      <c r="O31" s="18"/>
      <c r="P31" s="18"/>
      <c r="Q31" s="18"/>
      <c r="R31" s="18"/>
      <c r="S31" s="18"/>
      <c r="T31" s="18"/>
      <c r="U31" s="23">
        <f t="shared" si="13"/>
        <v>2000</v>
      </c>
      <c r="V31" s="34">
        <f t="shared" si="12"/>
        <v>0</v>
      </c>
      <c r="W31" s="21">
        <v>2000</v>
      </c>
    </row>
    <row r="32" spans="1:24" s="4" customFormat="1" x14ac:dyDescent="0.25">
      <c r="A32" s="35" t="s">
        <v>30</v>
      </c>
      <c r="B32" s="60"/>
      <c r="C32" s="134"/>
      <c r="D32" s="134"/>
      <c r="E32" s="139"/>
      <c r="F32" s="17">
        <v>23000</v>
      </c>
      <c r="G32" s="18"/>
      <c r="H32" s="18">
        <v>0</v>
      </c>
      <c r="I32" s="18"/>
      <c r="J32" s="19">
        <f t="shared" si="11"/>
        <v>23000</v>
      </c>
      <c r="K32" s="18"/>
      <c r="L32" s="17">
        <f t="shared" si="14"/>
        <v>23000</v>
      </c>
      <c r="M32" s="18"/>
      <c r="N32" s="18"/>
      <c r="O32" s="18"/>
      <c r="P32" s="18"/>
      <c r="Q32" s="18"/>
      <c r="R32" s="18"/>
      <c r="S32" s="18"/>
      <c r="T32" s="18"/>
      <c r="U32" s="23">
        <f t="shared" si="13"/>
        <v>23000</v>
      </c>
      <c r="V32" s="34">
        <f t="shared" si="12"/>
        <v>0</v>
      </c>
      <c r="W32" s="21">
        <v>20000</v>
      </c>
    </row>
    <row r="33" spans="1:24" s="4" customFormat="1" x14ac:dyDescent="0.25">
      <c r="A33" s="35" t="s">
        <v>31</v>
      </c>
      <c r="B33" s="60"/>
      <c r="C33" s="134"/>
      <c r="D33" s="134"/>
      <c r="E33" s="139"/>
      <c r="F33" s="17">
        <v>2500</v>
      </c>
      <c r="G33" s="18"/>
      <c r="H33" s="18">
        <v>0</v>
      </c>
      <c r="I33" s="18"/>
      <c r="J33" s="19">
        <f t="shared" si="11"/>
        <v>2500</v>
      </c>
      <c r="K33" s="18"/>
      <c r="L33" s="17">
        <f t="shared" si="14"/>
        <v>2500</v>
      </c>
      <c r="M33" s="18"/>
      <c r="N33" s="18"/>
      <c r="O33" s="18"/>
      <c r="P33" s="18"/>
      <c r="Q33" s="18"/>
      <c r="R33" s="18"/>
      <c r="S33" s="18"/>
      <c r="T33" s="18"/>
      <c r="U33" s="23">
        <f t="shared" si="13"/>
        <v>2500</v>
      </c>
      <c r="V33" s="34">
        <f t="shared" si="12"/>
        <v>0</v>
      </c>
      <c r="W33" s="21">
        <v>2500</v>
      </c>
    </row>
    <row r="34" spans="1:24" s="4" customFormat="1" x14ac:dyDescent="0.25">
      <c r="A34" s="35" t="s">
        <v>33</v>
      </c>
      <c r="B34" s="60"/>
      <c r="C34" s="134"/>
      <c r="D34" s="134"/>
      <c r="E34" s="139"/>
      <c r="F34" s="17">
        <v>20000</v>
      </c>
      <c r="G34" s="18"/>
      <c r="H34" s="18">
        <v>0</v>
      </c>
      <c r="I34" s="18"/>
      <c r="J34" s="19">
        <f>+F34+H34</f>
        <v>20000</v>
      </c>
      <c r="K34" s="18"/>
      <c r="L34" s="17">
        <f t="shared" si="14"/>
        <v>20000</v>
      </c>
      <c r="M34" s="18"/>
      <c r="N34" s="18"/>
      <c r="O34" s="18"/>
      <c r="P34" s="18"/>
      <c r="Q34" s="18"/>
      <c r="R34" s="18"/>
      <c r="S34" s="18"/>
      <c r="T34" s="18"/>
      <c r="U34" s="23">
        <f>SUM(L34:T34)</f>
        <v>20000</v>
      </c>
      <c r="V34" s="34">
        <f>J34-U34</f>
        <v>0</v>
      </c>
      <c r="W34" s="21">
        <v>10000</v>
      </c>
    </row>
    <row r="35" spans="1:24" s="4" customFormat="1" x14ac:dyDescent="0.25">
      <c r="A35" s="35" t="s">
        <v>34</v>
      </c>
      <c r="B35" s="60"/>
      <c r="C35" s="134"/>
      <c r="D35" s="134"/>
      <c r="E35" s="139"/>
      <c r="F35" s="17">
        <v>38000</v>
      </c>
      <c r="G35" s="18"/>
      <c r="H35" s="18">
        <v>0</v>
      </c>
      <c r="I35" s="18"/>
      <c r="J35" s="19">
        <f t="shared" si="11"/>
        <v>38000</v>
      </c>
      <c r="K35" s="18"/>
      <c r="L35" s="17">
        <f t="shared" si="14"/>
        <v>38000</v>
      </c>
      <c r="M35" s="18"/>
      <c r="N35" s="18"/>
      <c r="O35" s="18"/>
      <c r="P35" s="18"/>
      <c r="Q35" s="18"/>
      <c r="R35" s="18"/>
      <c r="S35" s="18"/>
      <c r="T35" s="18"/>
      <c r="U35" s="23">
        <f t="shared" si="13"/>
        <v>38000</v>
      </c>
      <c r="V35" s="34">
        <f t="shared" si="12"/>
        <v>0</v>
      </c>
      <c r="W35" s="21">
        <v>20000</v>
      </c>
    </row>
    <row r="36" spans="1:24" s="4" customFormat="1" hidden="1" x14ac:dyDescent="0.25">
      <c r="A36" s="35" t="s">
        <v>35</v>
      </c>
      <c r="B36" s="60"/>
      <c r="C36" s="134"/>
      <c r="D36" s="134"/>
      <c r="E36" s="139"/>
      <c r="F36" s="17">
        <v>0</v>
      </c>
      <c r="G36" s="18"/>
      <c r="H36" s="18">
        <v>0</v>
      </c>
      <c r="I36" s="18"/>
      <c r="J36" s="19">
        <f t="shared" si="11"/>
        <v>0</v>
      </c>
      <c r="K36" s="18"/>
      <c r="L36" s="17">
        <f t="shared" si="14"/>
        <v>0</v>
      </c>
      <c r="M36" s="18"/>
      <c r="N36" s="18"/>
      <c r="O36" s="18"/>
      <c r="P36" s="18"/>
      <c r="Q36" s="18"/>
      <c r="R36" s="18"/>
      <c r="S36" s="18">
        <v>0</v>
      </c>
      <c r="T36" s="18"/>
      <c r="U36" s="23">
        <f t="shared" si="13"/>
        <v>0</v>
      </c>
      <c r="V36" s="34">
        <f t="shared" si="12"/>
        <v>0</v>
      </c>
      <c r="W36" s="21"/>
    </row>
    <row r="37" spans="1:24" s="4" customFormat="1" hidden="1" x14ac:dyDescent="0.25">
      <c r="A37" s="36" t="s">
        <v>36</v>
      </c>
      <c r="B37" s="61"/>
      <c r="C37" s="134"/>
      <c r="D37" s="134"/>
      <c r="E37" s="139"/>
      <c r="F37" s="17">
        <v>0</v>
      </c>
      <c r="G37" s="18"/>
      <c r="H37" s="18">
        <v>0</v>
      </c>
      <c r="I37" s="18"/>
      <c r="J37" s="19">
        <f t="shared" si="11"/>
        <v>0</v>
      </c>
      <c r="K37" s="18"/>
      <c r="L37" s="17">
        <f t="shared" si="14"/>
        <v>0</v>
      </c>
      <c r="M37" s="18"/>
      <c r="N37" s="18"/>
      <c r="O37" s="18"/>
      <c r="P37" s="18"/>
      <c r="Q37" s="18"/>
      <c r="R37" s="18"/>
      <c r="S37" s="18"/>
      <c r="T37" s="18"/>
      <c r="U37" s="23">
        <f t="shared" si="13"/>
        <v>0</v>
      </c>
      <c r="V37" s="34"/>
      <c r="W37" s="21"/>
    </row>
    <row r="38" spans="1:24" s="4" customFormat="1" hidden="1" x14ac:dyDescent="0.25">
      <c r="A38" s="36" t="s">
        <v>37</v>
      </c>
      <c r="B38" s="61"/>
      <c r="C38" s="134"/>
      <c r="D38" s="134"/>
      <c r="E38" s="139"/>
      <c r="F38" s="17">
        <v>0</v>
      </c>
      <c r="G38" s="18"/>
      <c r="H38" s="18">
        <v>0</v>
      </c>
      <c r="I38" s="18"/>
      <c r="J38" s="19">
        <f t="shared" si="11"/>
        <v>0</v>
      </c>
      <c r="K38" s="18"/>
      <c r="L38" s="17">
        <f t="shared" si="14"/>
        <v>0</v>
      </c>
      <c r="M38" s="18">
        <v>0</v>
      </c>
      <c r="N38" s="18">
        <v>0</v>
      </c>
      <c r="O38" s="18"/>
      <c r="P38" s="18"/>
      <c r="Q38" s="18"/>
      <c r="R38" s="18"/>
      <c r="S38" s="18"/>
      <c r="T38" s="18"/>
      <c r="U38" s="23">
        <f t="shared" si="13"/>
        <v>0</v>
      </c>
      <c r="V38" s="34"/>
      <c r="W38" s="21"/>
    </row>
    <row r="39" spans="1:24" s="4" customFormat="1" x14ac:dyDescent="0.25">
      <c r="A39" s="36" t="s">
        <v>32</v>
      </c>
      <c r="B39" s="61"/>
      <c r="C39" s="134"/>
      <c r="D39" s="134"/>
      <c r="E39" s="139"/>
      <c r="F39" s="17">
        <v>1200</v>
      </c>
      <c r="G39" s="18"/>
      <c r="H39" s="18">
        <v>0</v>
      </c>
      <c r="I39" s="18"/>
      <c r="J39" s="19">
        <f>+F39+H39</f>
        <v>1200</v>
      </c>
      <c r="K39" s="18"/>
      <c r="L39" s="17">
        <f t="shared" si="14"/>
        <v>1200</v>
      </c>
      <c r="M39" s="18"/>
      <c r="N39" s="18"/>
      <c r="O39" s="18"/>
      <c r="P39" s="18"/>
      <c r="Q39" s="18"/>
      <c r="R39" s="18"/>
      <c r="S39" s="18"/>
      <c r="T39" s="18"/>
      <c r="U39" s="23">
        <f>SUM(L39:T39)</f>
        <v>1200</v>
      </c>
      <c r="V39" s="34">
        <f>J39-U39</f>
        <v>0</v>
      </c>
      <c r="W39" s="21">
        <v>1000</v>
      </c>
    </row>
    <row r="40" spans="1:24" s="4" customFormat="1" x14ac:dyDescent="0.25">
      <c r="A40" s="35" t="s">
        <v>149</v>
      </c>
      <c r="B40" s="60"/>
      <c r="C40" s="134"/>
      <c r="D40" s="134"/>
      <c r="E40" s="139"/>
      <c r="F40" s="17">
        <v>40000</v>
      </c>
      <c r="G40" s="18">
        <v>0</v>
      </c>
      <c r="H40" s="18">
        <v>15000</v>
      </c>
      <c r="I40" s="18"/>
      <c r="J40" s="19">
        <f t="shared" si="11"/>
        <v>55000</v>
      </c>
      <c r="K40" s="18"/>
      <c r="L40" s="17">
        <f t="shared" si="14"/>
        <v>55000</v>
      </c>
      <c r="M40" s="18"/>
      <c r="N40" s="18"/>
      <c r="O40" s="18"/>
      <c r="P40" s="18"/>
      <c r="Q40" s="18"/>
      <c r="R40" s="18"/>
      <c r="S40" s="18"/>
      <c r="T40" s="18"/>
      <c r="U40" s="23">
        <f t="shared" si="13"/>
        <v>55000</v>
      </c>
      <c r="V40" s="34">
        <f>J40-U40</f>
        <v>0</v>
      </c>
      <c r="W40" s="21">
        <v>40000</v>
      </c>
    </row>
    <row r="41" spans="1:24" s="4" customFormat="1" x14ac:dyDescent="0.25">
      <c r="A41" s="35" t="s">
        <v>38</v>
      </c>
      <c r="B41" s="60">
        <v>43636</v>
      </c>
      <c r="C41" s="134"/>
      <c r="D41" s="134"/>
      <c r="E41" s="139"/>
      <c r="F41" s="17">
        <v>12000</v>
      </c>
      <c r="G41" s="18"/>
      <c r="H41" s="18">
        <v>7360</v>
      </c>
      <c r="I41" s="18"/>
      <c r="J41" s="19">
        <f t="shared" si="11"/>
        <v>19360</v>
      </c>
      <c r="K41" s="18"/>
      <c r="L41" s="17">
        <f t="shared" si="14"/>
        <v>19360</v>
      </c>
      <c r="M41" s="18"/>
      <c r="N41" s="18"/>
      <c r="O41" s="18"/>
      <c r="P41" s="18"/>
      <c r="Q41" s="18"/>
      <c r="R41" s="18"/>
      <c r="S41" s="18"/>
      <c r="T41" s="18"/>
      <c r="U41" s="23">
        <f t="shared" si="13"/>
        <v>19360</v>
      </c>
      <c r="V41" s="34"/>
      <c r="W41" s="21">
        <v>5000</v>
      </c>
    </row>
    <row r="42" spans="1:24" s="4" customFormat="1" hidden="1" x14ac:dyDescent="0.25">
      <c r="A42" s="35" t="s">
        <v>39</v>
      </c>
      <c r="B42" s="60"/>
      <c r="C42" s="134"/>
      <c r="D42" s="134"/>
      <c r="E42" s="139"/>
      <c r="F42" s="17">
        <v>0</v>
      </c>
      <c r="G42" s="18"/>
      <c r="H42" s="18">
        <v>0</v>
      </c>
      <c r="I42" s="18"/>
      <c r="J42" s="19">
        <f t="shared" si="11"/>
        <v>0</v>
      </c>
      <c r="K42" s="18"/>
      <c r="L42" s="17">
        <f t="shared" si="14"/>
        <v>0</v>
      </c>
      <c r="M42" s="18"/>
      <c r="N42" s="18"/>
      <c r="O42" s="18"/>
      <c r="P42" s="18"/>
      <c r="Q42" s="18"/>
      <c r="R42" s="18"/>
      <c r="S42" s="18">
        <v>0</v>
      </c>
      <c r="T42" s="18"/>
      <c r="U42" s="23">
        <f t="shared" si="13"/>
        <v>0</v>
      </c>
      <c r="V42" s="34"/>
      <c r="W42" s="21">
        <v>5000</v>
      </c>
    </row>
    <row r="43" spans="1:24" s="4" customFormat="1" x14ac:dyDescent="0.25">
      <c r="A43" s="35" t="s">
        <v>40</v>
      </c>
      <c r="B43" s="60"/>
      <c r="C43" s="134"/>
      <c r="D43" s="134"/>
      <c r="E43" s="139"/>
      <c r="F43" s="17">
        <v>3000</v>
      </c>
      <c r="G43" s="18"/>
      <c r="H43" s="18">
        <v>0</v>
      </c>
      <c r="I43" s="18"/>
      <c r="J43" s="19">
        <f>+F43+H43</f>
        <v>3000</v>
      </c>
      <c r="K43" s="18"/>
      <c r="L43" s="17">
        <f t="shared" si="14"/>
        <v>3000</v>
      </c>
      <c r="M43" s="18"/>
      <c r="N43" s="18"/>
      <c r="O43" s="18"/>
      <c r="P43" s="18"/>
      <c r="Q43" s="18"/>
      <c r="R43" s="18"/>
      <c r="S43" s="18"/>
      <c r="T43" s="18"/>
      <c r="U43" s="23">
        <f>SUM(L43:T43)</f>
        <v>3000</v>
      </c>
      <c r="V43" s="34">
        <f>J43-U43</f>
        <v>0</v>
      </c>
      <c r="W43" s="21">
        <v>5000</v>
      </c>
    </row>
    <row r="44" spans="1:24" s="4" customFormat="1" x14ac:dyDescent="0.25">
      <c r="A44" s="35" t="s">
        <v>41</v>
      </c>
      <c r="B44" s="60"/>
      <c r="C44" s="134"/>
      <c r="D44" s="134"/>
      <c r="E44" s="139"/>
      <c r="F44" s="17">
        <v>5000</v>
      </c>
      <c r="G44" s="18"/>
      <c r="H44" s="18">
        <v>0</v>
      </c>
      <c r="I44" s="18"/>
      <c r="J44" s="19">
        <f>+F44+H44</f>
        <v>5000</v>
      </c>
      <c r="K44" s="18"/>
      <c r="L44" s="17">
        <f t="shared" si="14"/>
        <v>5000</v>
      </c>
      <c r="M44" s="18"/>
      <c r="N44" s="18"/>
      <c r="O44" s="18"/>
      <c r="P44" s="18"/>
      <c r="Q44" s="18"/>
      <c r="R44" s="18"/>
      <c r="S44" s="18"/>
      <c r="T44" s="18"/>
      <c r="U44" s="23">
        <f>SUM(L44:T44)</f>
        <v>5000</v>
      </c>
      <c r="V44" s="34">
        <f>J44-U44</f>
        <v>0</v>
      </c>
      <c r="W44" s="21">
        <v>5000</v>
      </c>
    </row>
    <row r="45" spans="1:24" s="4" customFormat="1" x14ac:dyDescent="0.25">
      <c r="A45" s="35" t="s">
        <v>42</v>
      </c>
      <c r="B45" s="60"/>
      <c r="C45" s="134"/>
      <c r="D45" s="134"/>
      <c r="E45" s="139"/>
      <c r="F45" s="17">
        <v>5000</v>
      </c>
      <c r="G45" s="18"/>
      <c r="H45" s="18">
        <v>0</v>
      </c>
      <c r="I45" s="18"/>
      <c r="J45" s="19">
        <f>+F45+H45</f>
        <v>5000</v>
      </c>
      <c r="K45" s="18"/>
      <c r="L45" s="17">
        <f t="shared" si="14"/>
        <v>5000</v>
      </c>
      <c r="M45" s="18"/>
      <c r="N45" s="18"/>
      <c r="O45" s="18"/>
      <c r="P45" s="18"/>
      <c r="Q45" s="18"/>
      <c r="R45" s="18"/>
      <c r="S45" s="18"/>
      <c r="T45" s="18"/>
      <c r="U45" s="23">
        <f>SUM(L45:T45)</f>
        <v>5000</v>
      </c>
      <c r="V45" s="34">
        <f>J45-U45</f>
        <v>0</v>
      </c>
      <c r="W45" s="21">
        <v>15000</v>
      </c>
    </row>
    <row r="46" spans="1:24" s="4" customFormat="1" x14ac:dyDescent="0.25">
      <c r="A46" s="37" t="s">
        <v>43</v>
      </c>
      <c r="B46" s="62"/>
      <c r="C46" s="135"/>
      <c r="D46" s="134"/>
      <c r="E46" s="139"/>
      <c r="F46" s="17">
        <v>8000</v>
      </c>
      <c r="G46" s="18"/>
      <c r="H46" s="18">
        <v>0</v>
      </c>
      <c r="I46" s="18"/>
      <c r="J46" s="19">
        <f>+F46+H46</f>
        <v>8000</v>
      </c>
      <c r="K46" s="18"/>
      <c r="L46" s="17">
        <f t="shared" si="14"/>
        <v>8000</v>
      </c>
      <c r="M46" s="18"/>
      <c r="N46" s="18"/>
      <c r="O46" s="18"/>
      <c r="P46" s="18"/>
      <c r="Q46" s="18"/>
      <c r="R46" s="18"/>
      <c r="S46" s="18"/>
      <c r="T46" s="18"/>
      <c r="U46" s="19">
        <f>SUM(L46:T46)</f>
        <v>8000</v>
      </c>
      <c r="V46" s="34">
        <f>J46-U46</f>
        <v>0</v>
      </c>
      <c r="W46" s="21">
        <v>10000</v>
      </c>
      <c r="X46" s="24"/>
    </row>
    <row r="47" spans="1:24" s="4" customFormat="1" ht="18" customHeight="1" x14ac:dyDescent="0.25">
      <c r="A47" s="35" t="s">
        <v>238</v>
      </c>
      <c r="B47" s="60"/>
      <c r="C47" s="135"/>
      <c r="D47" s="134"/>
      <c r="E47" s="139"/>
      <c r="F47" s="17">
        <v>5000</v>
      </c>
      <c r="G47" s="18"/>
      <c r="H47" s="18">
        <v>0</v>
      </c>
      <c r="I47" s="18"/>
      <c r="J47" s="19">
        <f t="shared" si="11"/>
        <v>5000</v>
      </c>
      <c r="K47" s="18"/>
      <c r="L47" s="17">
        <f t="shared" si="14"/>
        <v>5000</v>
      </c>
      <c r="M47" s="18"/>
      <c r="N47" s="18"/>
      <c r="O47" s="18"/>
      <c r="P47" s="18"/>
      <c r="Q47" s="18"/>
      <c r="R47" s="18"/>
      <c r="S47" s="18"/>
      <c r="T47" s="18"/>
      <c r="U47" s="19">
        <f t="shared" si="13"/>
        <v>5000</v>
      </c>
      <c r="V47" s="34">
        <f t="shared" ref="V47:V64" si="15">J47-U47</f>
        <v>0</v>
      </c>
      <c r="W47" s="21">
        <v>0</v>
      </c>
    </row>
    <row r="48" spans="1:24" s="4" customFormat="1" x14ac:dyDescent="0.25">
      <c r="A48" s="35" t="s">
        <v>274</v>
      </c>
      <c r="B48" s="60"/>
      <c r="C48" s="135"/>
      <c r="D48" s="134"/>
      <c r="E48" s="139"/>
      <c r="F48" s="17"/>
      <c r="G48" s="18"/>
      <c r="H48" s="18">
        <v>291400</v>
      </c>
      <c r="I48" s="18"/>
      <c r="J48" s="19">
        <f t="shared" si="11"/>
        <v>291400</v>
      </c>
      <c r="K48" s="18"/>
      <c r="L48" s="17">
        <f t="shared" si="14"/>
        <v>291400</v>
      </c>
      <c r="M48" s="18"/>
      <c r="N48" s="18"/>
      <c r="O48" s="18"/>
      <c r="P48" s="18"/>
      <c r="Q48" s="18"/>
      <c r="R48" s="18"/>
      <c r="S48" s="18"/>
      <c r="T48" s="18"/>
      <c r="U48" s="19">
        <f t="shared" si="13"/>
        <v>291400</v>
      </c>
      <c r="V48" s="34"/>
      <c r="W48" s="21"/>
    </row>
    <row r="49" spans="1:24" s="4" customFormat="1" x14ac:dyDescent="0.25">
      <c r="A49" s="35" t="s">
        <v>241</v>
      </c>
      <c r="B49" s="60"/>
      <c r="C49" s="135"/>
      <c r="D49" s="134"/>
      <c r="E49" s="139"/>
      <c r="F49" s="17">
        <v>0</v>
      </c>
      <c r="G49" s="18"/>
      <c r="H49" s="18">
        <v>12000</v>
      </c>
      <c r="I49" s="18"/>
      <c r="J49" s="19">
        <f>+H49+F49</f>
        <v>12000</v>
      </c>
      <c r="K49" s="18"/>
      <c r="L49" s="17">
        <f t="shared" si="14"/>
        <v>12000</v>
      </c>
      <c r="M49" s="18"/>
      <c r="N49" s="18"/>
      <c r="O49" s="18"/>
      <c r="P49" s="18"/>
      <c r="Q49" s="18"/>
      <c r="R49" s="18"/>
      <c r="S49" s="18"/>
      <c r="T49" s="18"/>
      <c r="U49" s="19">
        <f t="shared" si="13"/>
        <v>12000</v>
      </c>
      <c r="V49" s="34"/>
      <c r="W49" s="21">
        <v>0</v>
      </c>
    </row>
    <row r="50" spans="1:24" s="4" customFormat="1" x14ac:dyDescent="0.25">
      <c r="A50" s="35" t="s">
        <v>245</v>
      </c>
      <c r="B50" s="60"/>
      <c r="C50" s="135"/>
      <c r="D50" s="134"/>
      <c r="E50" s="139"/>
      <c r="F50" s="17">
        <v>0</v>
      </c>
      <c r="G50" s="18"/>
      <c r="H50" s="18">
        <v>10200</v>
      </c>
      <c r="I50" s="18"/>
      <c r="J50" s="19">
        <f>+H50+F50</f>
        <v>10200</v>
      </c>
      <c r="K50" s="18"/>
      <c r="L50" s="17">
        <f t="shared" si="14"/>
        <v>10200</v>
      </c>
      <c r="M50" s="18"/>
      <c r="N50" s="18"/>
      <c r="O50" s="18"/>
      <c r="P50" s="18"/>
      <c r="Q50" s="18"/>
      <c r="R50" s="18"/>
      <c r="S50" s="18"/>
      <c r="T50" s="18"/>
      <c r="U50" s="19">
        <f t="shared" si="13"/>
        <v>10200</v>
      </c>
      <c r="V50" s="34"/>
      <c r="W50" s="21"/>
    </row>
    <row r="51" spans="1:24" s="4" customFormat="1" x14ac:dyDescent="0.25">
      <c r="A51" s="81" t="s">
        <v>246</v>
      </c>
      <c r="B51" s="60"/>
      <c r="C51" s="135"/>
      <c r="D51" s="134"/>
      <c r="E51" s="139"/>
      <c r="F51" s="17">
        <v>0</v>
      </c>
      <c r="G51" s="18"/>
      <c r="H51" s="18">
        <v>1800</v>
      </c>
      <c r="I51" s="18"/>
      <c r="J51" s="19">
        <f>+H51+F51</f>
        <v>1800</v>
      </c>
      <c r="K51" s="18"/>
      <c r="L51" s="17">
        <f t="shared" si="14"/>
        <v>1800</v>
      </c>
      <c r="M51" s="18"/>
      <c r="N51" s="18"/>
      <c r="O51" s="18"/>
      <c r="P51" s="18"/>
      <c r="Q51" s="18"/>
      <c r="R51" s="18"/>
      <c r="S51" s="18"/>
      <c r="T51" s="18"/>
      <c r="U51" s="19">
        <f t="shared" si="13"/>
        <v>1800</v>
      </c>
      <c r="V51" s="34"/>
      <c r="W51" s="21">
        <v>0</v>
      </c>
    </row>
    <row r="52" spans="1:24" s="4" customFormat="1" x14ac:dyDescent="0.25">
      <c r="A52" s="81" t="s">
        <v>258</v>
      </c>
      <c r="B52" s="60"/>
      <c r="C52" s="135"/>
      <c r="D52" s="134"/>
      <c r="E52" s="139"/>
      <c r="F52" s="17">
        <v>0</v>
      </c>
      <c r="G52" s="18"/>
      <c r="H52" s="73">
        <v>4000</v>
      </c>
      <c r="I52" s="18"/>
      <c r="J52" s="19">
        <f>+H52+F52</f>
        <v>4000</v>
      </c>
      <c r="K52" s="18"/>
      <c r="L52" s="17">
        <f t="shared" ref="L52:L63" si="16">+J52</f>
        <v>4000</v>
      </c>
      <c r="M52" s="18"/>
      <c r="N52" s="18"/>
      <c r="O52" s="18"/>
      <c r="P52" s="18"/>
      <c r="Q52" s="18"/>
      <c r="R52" s="18"/>
      <c r="S52" s="18"/>
      <c r="T52" s="18"/>
      <c r="U52" s="19">
        <f t="shared" si="13"/>
        <v>4000</v>
      </c>
      <c r="V52" s="34"/>
      <c r="W52" s="21">
        <v>0</v>
      </c>
    </row>
    <row r="53" spans="1:24" s="4" customFormat="1" x14ac:dyDescent="0.25">
      <c r="A53" s="81" t="s">
        <v>257</v>
      </c>
      <c r="B53" s="60"/>
      <c r="C53" s="135"/>
      <c r="D53" s="134"/>
      <c r="E53" s="139"/>
      <c r="F53" s="17">
        <v>0</v>
      </c>
      <c r="G53" s="18"/>
      <c r="H53" s="73">
        <v>4000</v>
      </c>
      <c r="I53" s="18"/>
      <c r="J53" s="19">
        <f>+H53+F53</f>
        <v>4000</v>
      </c>
      <c r="K53" s="18"/>
      <c r="L53" s="17">
        <f t="shared" si="16"/>
        <v>4000</v>
      </c>
      <c r="M53" s="18"/>
      <c r="N53" s="18"/>
      <c r="O53" s="18"/>
      <c r="P53" s="18"/>
      <c r="Q53" s="18"/>
      <c r="R53" s="18"/>
      <c r="S53" s="18"/>
      <c r="T53" s="18"/>
      <c r="U53" s="19">
        <f t="shared" si="13"/>
        <v>4000</v>
      </c>
      <c r="V53" s="34"/>
      <c r="W53" s="21">
        <v>0</v>
      </c>
    </row>
    <row r="54" spans="1:24" s="4" customFormat="1" x14ac:dyDescent="0.25">
      <c r="A54" s="81" t="s">
        <v>259</v>
      </c>
      <c r="B54" s="60"/>
      <c r="C54" s="135"/>
      <c r="D54" s="134"/>
      <c r="E54" s="139"/>
      <c r="F54" s="17">
        <v>0</v>
      </c>
      <c r="G54" s="18"/>
      <c r="H54" s="73">
        <v>4000</v>
      </c>
      <c r="I54" s="18"/>
      <c r="J54" s="19">
        <f t="shared" ref="J54:J59" si="17">+F54+H54</f>
        <v>4000</v>
      </c>
      <c r="K54" s="18"/>
      <c r="L54" s="17">
        <f t="shared" si="16"/>
        <v>4000</v>
      </c>
      <c r="M54" s="18"/>
      <c r="N54" s="18"/>
      <c r="O54" s="18"/>
      <c r="P54" s="18"/>
      <c r="Q54" s="18"/>
      <c r="R54" s="18"/>
      <c r="S54" s="18"/>
      <c r="T54" s="18"/>
      <c r="U54" s="19">
        <f t="shared" ref="U54:U58" si="18">SUM(L54:T54)</f>
        <v>4000</v>
      </c>
      <c r="V54" s="34"/>
      <c r="W54" s="21">
        <v>0</v>
      </c>
    </row>
    <row r="55" spans="1:24" s="4" customFormat="1" x14ac:dyDescent="0.25">
      <c r="A55" s="81" t="s">
        <v>260</v>
      </c>
      <c r="B55" s="60"/>
      <c r="C55" s="135"/>
      <c r="D55" s="134"/>
      <c r="E55" s="139"/>
      <c r="F55" s="17">
        <v>0</v>
      </c>
      <c r="G55" s="18"/>
      <c r="H55" s="73">
        <v>3000</v>
      </c>
      <c r="I55" s="18"/>
      <c r="J55" s="19">
        <f t="shared" si="17"/>
        <v>3000</v>
      </c>
      <c r="K55" s="18"/>
      <c r="L55" s="17">
        <f t="shared" si="16"/>
        <v>3000</v>
      </c>
      <c r="M55" s="18"/>
      <c r="N55" s="18"/>
      <c r="O55" s="18"/>
      <c r="P55" s="18"/>
      <c r="Q55" s="18"/>
      <c r="R55" s="18"/>
      <c r="S55" s="18"/>
      <c r="T55" s="18"/>
      <c r="U55" s="19">
        <f t="shared" si="18"/>
        <v>3000</v>
      </c>
      <c r="V55" s="34"/>
      <c r="W55" s="21">
        <v>0</v>
      </c>
    </row>
    <row r="56" spans="1:24" s="4" customFormat="1" x14ac:dyDescent="0.25">
      <c r="A56" s="81" t="s">
        <v>276</v>
      </c>
      <c r="B56" s="60"/>
      <c r="C56" s="135"/>
      <c r="D56" s="134"/>
      <c r="E56" s="139"/>
      <c r="F56" s="17">
        <v>0</v>
      </c>
      <c r="G56" s="18"/>
      <c r="H56" s="18">
        <v>70000</v>
      </c>
      <c r="I56" s="18"/>
      <c r="J56" s="19">
        <f t="shared" si="17"/>
        <v>70000</v>
      </c>
      <c r="K56" s="18"/>
      <c r="L56" s="17">
        <f t="shared" si="16"/>
        <v>70000</v>
      </c>
      <c r="M56" s="18"/>
      <c r="N56" s="18"/>
      <c r="O56" s="18"/>
      <c r="P56" s="18"/>
      <c r="Q56" s="18"/>
      <c r="R56" s="18"/>
      <c r="S56" s="18"/>
      <c r="T56" s="18"/>
      <c r="U56" s="19">
        <f t="shared" si="18"/>
        <v>70000</v>
      </c>
      <c r="V56" s="34"/>
      <c r="W56" s="21">
        <v>0</v>
      </c>
    </row>
    <row r="57" spans="1:24" s="4" customFormat="1" x14ac:dyDescent="0.25">
      <c r="A57" s="35" t="s">
        <v>277</v>
      </c>
      <c r="B57" s="60"/>
      <c r="C57" s="135"/>
      <c r="D57" s="134"/>
      <c r="E57" s="139"/>
      <c r="F57" s="17"/>
      <c r="G57" s="18"/>
      <c r="H57" s="18">
        <v>5000</v>
      </c>
      <c r="I57" s="18"/>
      <c r="J57" s="19">
        <f t="shared" si="17"/>
        <v>5000</v>
      </c>
      <c r="K57" s="18"/>
      <c r="L57" s="17">
        <f t="shared" si="16"/>
        <v>5000</v>
      </c>
      <c r="M57" s="18"/>
      <c r="N57" s="18"/>
      <c r="O57" s="18"/>
      <c r="P57" s="18"/>
      <c r="Q57" s="18"/>
      <c r="R57" s="18"/>
      <c r="S57" s="18"/>
      <c r="T57" s="18"/>
      <c r="U57" s="19">
        <f t="shared" si="18"/>
        <v>5000</v>
      </c>
      <c r="V57" s="34"/>
      <c r="W57" s="21"/>
    </row>
    <row r="58" spans="1:24" s="4" customFormat="1" x14ac:dyDescent="0.25">
      <c r="A58" s="81" t="s">
        <v>278</v>
      </c>
      <c r="B58" s="60"/>
      <c r="C58" s="135"/>
      <c r="D58" s="134"/>
      <c r="E58" s="139"/>
      <c r="F58" s="17">
        <v>0</v>
      </c>
      <c r="G58" s="18"/>
      <c r="H58" s="18">
        <v>27000</v>
      </c>
      <c r="I58" s="18"/>
      <c r="J58" s="19">
        <f t="shared" si="17"/>
        <v>27000</v>
      </c>
      <c r="K58" s="18"/>
      <c r="L58" s="17">
        <f t="shared" ref="L58" si="19">+J58</f>
        <v>27000</v>
      </c>
      <c r="M58" s="18"/>
      <c r="N58" s="18"/>
      <c r="O58" s="18"/>
      <c r="P58" s="18"/>
      <c r="Q58" s="18"/>
      <c r="R58" s="18"/>
      <c r="S58" s="18"/>
      <c r="T58" s="18"/>
      <c r="U58" s="19">
        <f t="shared" si="18"/>
        <v>27000</v>
      </c>
      <c r="V58" s="34"/>
      <c r="W58" s="21">
        <v>0</v>
      </c>
    </row>
    <row r="59" spans="1:24" s="4" customFormat="1" hidden="1" x14ac:dyDescent="0.25">
      <c r="A59" s="81"/>
      <c r="B59" s="60"/>
      <c r="C59" s="135"/>
      <c r="D59" s="134"/>
      <c r="E59" s="139"/>
      <c r="F59" s="17">
        <v>0</v>
      </c>
      <c r="G59" s="18"/>
      <c r="H59" s="18"/>
      <c r="I59" s="18"/>
      <c r="J59" s="19">
        <f t="shared" si="17"/>
        <v>0</v>
      </c>
      <c r="K59" s="18"/>
      <c r="L59" s="17">
        <f t="shared" si="16"/>
        <v>0</v>
      </c>
      <c r="M59" s="18"/>
      <c r="N59" s="18"/>
      <c r="O59" s="18"/>
      <c r="P59" s="18"/>
      <c r="Q59" s="18"/>
      <c r="R59" s="18"/>
      <c r="S59" s="18"/>
      <c r="T59" s="18"/>
      <c r="U59" s="19">
        <f t="shared" si="13"/>
        <v>0</v>
      </c>
      <c r="V59" s="34"/>
      <c r="W59" s="21">
        <v>0</v>
      </c>
    </row>
    <row r="60" spans="1:24" s="4" customFormat="1" ht="15" hidden="1" customHeight="1" x14ac:dyDescent="0.25">
      <c r="A60" s="35"/>
      <c r="B60" s="60"/>
      <c r="C60" s="135"/>
      <c r="D60" s="134"/>
      <c r="E60" s="139"/>
      <c r="F60" s="17">
        <v>0</v>
      </c>
      <c r="G60" s="18"/>
      <c r="H60" s="18"/>
      <c r="I60" s="18"/>
      <c r="J60" s="19">
        <f t="shared" ref="J60:J72" si="20">+F60+H60</f>
        <v>0</v>
      </c>
      <c r="K60" s="18"/>
      <c r="L60" s="17">
        <f t="shared" si="16"/>
        <v>0</v>
      </c>
      <c r="M60" s="18"/>
      <c r="N60" s="18"/>
      <c r="O60" s="18"/>
      <c r="P60" s="18"/>
      <c r="Q60" s="18"/>
      <c r="R60" s="18"/>
      <c r="S60" s="18"/>
      <c r="T60" s="18"/>
      <c r="U60" s="19">
        <f t="shared" si="13"/>
        <v>0</v>
      </c>
      <c r="V60" s="34"/>
      <c r="W60" s="21">
        <v>0</v>
      </c>
    </row>
    <row r="61" spans="1:24" s="4" customFormat="1" hidden="1" x14ac:dyDescent="0.25">
      <c r="A61" s="35"/>
      <c r="B61" s="60"/>
      <c r="C61" s="134"/>
      <c r="D61" s="134"/>
      <c r="E61" s="139"/>
      <c r="F61" s="17">
        <v>0</v>
      </c>
      <c r="G61" s="18"/>
      <c r="H61" s="18"/>
      <c r="I61" s="18"/>
      <c r="J61" s="19">
        <f t="shared" si="20"/>
        <v>0</v>
      </c>
      <c r="K61" s="18"/>
      <c r="L61" s="17">
        <f t="shared" si="16"/>
        <v>0</v>
      </c>
      <c r="M61" s="18"/>
      <c r="N61" s="18"/>
      <c r="O61" s="18"/>
      <c r="P61" s="18"/>
      <c r="Q61" s="18"/>
      <c r="R61" s="18"/>
      <c r="S61" s="18"/>
      <c r="T61" s="18"/>
      <c r="U61" s="23">
        <f t="shared" ref="U61:U66" si="21">SUM(L61:T61)</f>
        <v>0</v>
      </c>
      <c r="V61" s="34">
        <f>J61-U61</f>
        <v>0</v>
      </c>
      <c r="W61" s="21">
        <v>10000</v>
      </c>
      <c r="X61" s="24"/>
    </row>
    <row r="62" spans="1:24" s="4" customFormat="1" hidden="1" x14ac:dyDescent="0.25">
      <c r="A62" s="35"/>
      <c r="B62" s="60"/>
      <c r="C62" s="134"/>
      <c r="D62" s="134"/>
      <c r="E62" s="139"/>
      <c r="F62" s="17">
        <v>0</v>
      </c>
      <c r="G62" s="18"/>
      <c r="H62" s="18"/>
      <c r="I62" s="18"/>
      <c r="J62" s="19">
        <f t="shared" si="20"/>
        <v>0</v>
      </c>
      <c r="K62" s="18"/>
      <c r="L62" s="17">
        <f t="shared" si="16"/>
        <v>0</v>
      </c>
      <c r="M62" s="18"/>
      <c r="N62" s="18"/>
      <c r="O62" s="18"/>
      <c r="P62" s="18"/>
      <c r="Q62" s="18"/>
      <c r="R62" s="18"/>
      <c r="S62" s="18"/>
      <c r="T62" s="18"/>
      <c r="U62" s="23">
        <f t="shared" si="21"/>
        <v>0</v>
      </c>
      <c r="V62" s="34"/>
      <c r="W62" s="21"/>
      <c r="X62" s="24"/>
    </row>
    <row r="63" spans="1:24" s="4" customFormat="1" hidden="1" x14ac:dyDescent="0.25">
      <c r="A63" s="149"/>
      <c r="B63" s="60"/>
      <c r="C63" s="134"/>
      <c r="D63" s="134"/>
      <c r="E63" s="139"/>
      <c r="F63" s="17"/>
      <c r="G63" s="18"/>
      <c r="H63" s="18"/>
      <c r="I63" s="18"/>
      <c r="J63" s="19">
        <f t="shared" si="20"/>
        <v>0</v>
      </c>
      <c r="K63" s="18"/>
      <c r="L63" s="17">
        <f t="shared" si="16"/>
        <v>0</v>
      </c>
      <c r="M63" s="18"/>
      <c r="N63" s="18"/>
      <c r="O63" s="18"/>
      <c r="P63" s="18"/>
      <c r="Q63" s="18"/>
      <c r="R63" s="18"/>
      <c r="S63" s="18"/>
      <c r="T63" s="18"/>
      <c r="U63" s="23">
        <f t="shared" si="21"/>
        <v>0</v>
      </c>
      <c r="V63" s="34"/>
      <c r="W63" s="21"/>
      <c r="X63" s="24"/>
    </row>
    <row r="64" spans="1:24" s="4" customFormat="1" hidden="1" x14ac:dyDescent="0.25">
      <c r="A64" s="35"/>
      <c r="B64" s="60"/>
      <c r="C64" s="134"/>
      <c r="D64" s="134"/>
      <c r="E64" s="139"/>
      <c r="F64" s="17">
        <v>0</v>
      </c>
      <c r="G64" s="18"/>
      <c r="H64" s="18"/>
      <c r="I64" s="18"/>
      <c r="J64" s="19">
        <f t="shared" si="20"/>
        <v>0</v>
      </c>
      <c r="K64" s="18"/>
      <c r="L64" s="17">
        <f>+H64</f>
        <v>0</v>
      </c>
      <c r="M64" s="18"/>
      <c r="N64" s="18"/>
      <c r="O64" s="18"/>
      <c r="P64" s="18"/>
      <c r="Q64" s="18"/>
      <c r="R64" s="18"/>
      <c r="S64" s="18"/>
      <c r="T64" s="18"/>
      <c r="U64" s="23">
        <f t="shared" si="21"/>
        <v>0</v>
      </c>
      <c r="V64" s="34">
        <f t="shared" si="15"/>
        <v>0</v>
      </c>
      <c r="W64" s="21">
        <v>0</v>
      </c>
    </row>
    <row r="65" spans="1:27" s="4" customFormat="1" hidden="1" x14ac:dyDescent="0.25">
      <c r="A65" s="35"/>
      <c r="B65" s="60"/>
      <c r="C65" s="134"/>
      <c r="D65" s="134"/>
      <c r="E65" s="139"/>
      <c r="F65" s="17"/>
      <c r="G65" s="18"/>
      <c r="H65" s="18"/>
      <c r="I65" s="18"/>
      <c r="J65" s="19">
        <f t="shared" si="20"/>
        <v>0</v>
      </c>
      <c r="K65" s="18"/>
      <c r="L65" s="17">
        <f>+H65</f>
        <v>0</v>
      </c>
      <c r="M65" s="18"/>
      <c r="N65" s="18"/>
      <c r="O65" s="18"/>
      <c r="P65" s="18"/>
      <c r="Q65" s="18"/>
      <c r="R65" s="18"/>
      <c r="S65" s="18"/>
      <c r="T65" s="18"/>
      <c r="U65" s="23">
        <f t="shared" si="21"/>
        <v>0</v>
      </c>
      <c r="V65" s="34"/>
      <c r="W65" s="21"/>
    </row>
    <row r="66" spans="1:27" s="4" customFormat="1" hidden="1" x14ac:dyDescent="0.25">
      <c r="A66" s="35"/>
      <c r="B66" s="60"/>
      <c r="C66" s="134"/>
      <c r="D66" s="134"/>
      <c r="E66" s="139"/>
      <c r="F66" s="17"/>
      <c r="G66" s="18"/>
      <c r="H66" s="18"/>
      <c r="I66" s="18"/>
      <c r="J66" s="19">
        <f t="shared" si="20"/>
        <v>0</v>
      </c>
      <c r="K66" s="18"/>
      <c r="L66" s="17">
        <f>+H66</f>
        <v>0</v>
      </c>
      <c r="M66" s="18"/>
      <c r="N66" s="18"/>
      <c r="O66" s="18"/>
      <c r="P66" s="18"/>
      <c r="Q66" s="18"/>
      <c r="R66" s="18"/>
      <c r="S66" s="18"/>
      <c r="T66" s="18"/>
      <c r="U66" s="23">
        <f t="shared" si="21"/>
        <v>0</v>
      </c>
      <c r="V66" s="34"/>
      <c r="W66" s="21"/>
    </row>
    <row r="67" spans="1:27" s="4" customFormat="1" hidden="1" x14ac:dyDescent="0.25">
      <c r="A67" s="35"/>
      <c r="B67" s="60"/>
      <c r="C67" s="134"/>
      <c r="D67" s="134"/>
      <c r="E67" s="139"/>
      <c r="F67" s="17"/>
      <c r="G67" s="18"/>
      <c r="H67" s="18"/>
      <c r="I67" s="18"/>
      <c r="J67" s="19">
        <f t="shared" si="20"/>
        <v>0</v>
      </c>
      <c r="K67" s="18"/>
      <c r="L67" s="17">
        <f t="shared" ref="L67:L72" si="22">+H67</f>
        <v>0</v>
      </c>
      <c r="M67" s="18"/>
      <c r="N67" s="18"/>
      <c r="O67" s="18"/>
      <c r="P67" s="18"/>
      <c r="Q67" s="18"/>
      <c r="R67" s="18"/>
      <c r="S67" s="18"/>
      <c r="T67" s="18"/>
      <c r="U67" s="23">
        <f t="shared" ref="U67:U72" si="23">SUM(L67:T67)</f>
        <v>0</v>
      </c>
      <c r="V67" s="34"/>
      <c r="W67" s="21"/>
    </row>
    <row r="68" spans="1:27" s="4" customFormat="1" hidden="1" x14ac:dyDescent="0.25">
      <c r="A68" s="35"/>
      <c r="B68" s="60"/>
      <c r="C68" s="134"/>
      <c r="D68" s="134"/>
      <c r="E68" s="139"/>
      <c r="F68" s="17"/>
      <c r="G68" s="18"/>
      <c r="H68" s="18"/>
      <c r="I68" s="18"/>
      <c r="J68" s="19">
        <f t="shared" si="20"/>
        <v>0</v>
      </c>
      <c r="K68" s="18"/>
      <c r="L68" s="17">
        <f t="shared" si="22"/>
        <v>0</v>
      </c>
      <c r="M68" s="18"/>
      <c r="N68" s="18"/>
      <c r="O68" s="18"/>
      <c r="P68" s="18"/>
      <c r="Q68" s="18"/>
      <c r="R68" s="18"/>
      <c r="S68" s="18"/>
      <c r="T68" s="18"/>
      <c r="U68" s="23">
        <f t="shared" si="23"/>
        <v>0</v>
      </c>
      <c r="V68" s="34"/>
      <c r="W68" s="21"/>
    </row>
    <row r="69" spans="1:27" s="4" customFormat="1" hidden="1" x14ac:dyDescent="0.25">
      <c r="A69" s="35"/>
      <c r="B69" s="60"/>
      <c r="C69" s="134"/>
      <c r="D69" s="134"/>
      <c r="E69" s="139"/>
      <c r="F69" s="17"/>
      <c r="G69" s="18"/>
      <c r="H69" s="18"/>
      <c r="I69" s="18"/>
      <c r="J69" s="19">
        <f t="shared" si="20"/>
        <v>0</v>
      </c>
      <c r="K69" s="18"/>
      <c r="L69" s="17">
        <f t="shared" si="22"/>
        <v>0</v>
      </c>
      <c r="M69" s="18"/>
      <c r="N69" s="18"/>
      <c r="O69" s="18"/>
      <c r="P69" s="18"/>
      <c r="Q69" s="18"/>
      <c r="R69" s="18"/>
      <c r="S69" s="18"/>
      <c r="T69" s="18"/>
      <c r="U69" s="23">
        <f t="shared" si="23"/>
        <v>0</v>
      </c>
      <c r="V69" s="34"/>
      <c r="W69" s="21"/>
    </row>
    <row r="70" spans="1:27" s="4" customFormat="1" hidden="1" x14ac:dyDescent="0.25">
      <c r="A70" s="81"/>
      <c r="B70" s="60"/>
      <c r="C70" s="134"/>
      <c r="D70" s="134"/>
      <c r="E70" s="139"/>
      <c r="F70" s="17"/>
      <c r="G70" s="18"/>
      <c r="H70" s="18"/>
      <c r="I70" s="18"/>
      <c r="J70" s="19">
        <f t="shared" si="20"/>
        <v>0</v>
      </c>
      <c r="K70" s="18"/>
      <c r="L70" s="17">
        <f t="shared" si="22"/>
        <v>0</v>
      </c>
      <c r="M70" s="18"/>
      <c r="N70" s="18"/>
      <c r="O70" s="18"/>
      <c r="P70" s="18"/>
      <c r="Q70" s="18"/>
      <c r="R70" s="18"/>
      <c r="S70" s="18"/>
      <c r="T70" s="18"/>
      <c r="U70" s="23">
        <f t="shared" si="23"/>
        <v>0</v>
      </c>
      <c r="V70" s="34"/>
      <c r="W70" s="21"/>
    </row>
    <row r="71" spans="1:27" s="4" customFormat="1" hidden="1" x14ac:dyDescent="0.25">
      <c r="A71" s="81"/>
      <c r="B71" s="60"/>
      <c r="C71" s="134"/>
      <c r="D71" s="134"/>
      <c r="E71" s="139"/>
      <c r="F71" s="17"/>
      <c r="G71" s="18"/>
      <c r="H71" s="18"/>
      <c r="I71" s="18"/>
      <c r="J71" s="19">
        <f t="shared" si="20"/>
        <v>0</v>
      </c>
      <c r="K71" s="18"/>
      <c r="L71" s="17">
        <f t="shared" si="22"/>
        <v>0</v>
      </c>
      <c r="M71" s="18"/>
      <c r="N71" s="18"/>
      <c r="O71" s="18"/>
      <c r="P71" s="18"/>
      <c r="Q71" s="18"/>
      <c r="R71" s="18"/>
      <c r="S71" s="18"/>
      <c r="T71" s="18"/>
      <c r="U71" s="23">
        <f t="shared" si="23"/>
        <v>0</v>
      </c>
      <c r="V71" s="34"/>
      <c r="W71" s="21"/>
    </row>
    <row r="72" spans="1:27" s="4" customFormat="1" hidden="1" x14ac:dyDescent="0.25">
      <c r="A72" s="81"/>
      <c r="B72" s="60"/>
      <c r="C72" s="134"/>
      <c r="D72" s="134"/>
      <c r="E72" s="139"/>
      <c r="F72" s="17"/>
      <c r="G72" s="18"/>
      <c r="H72" s="18"/>
      <c r="I72" s="18"/>
      <c r="J72" s="19">
        <f t="shared" si="20"/>
        <v>0</v>
      </c>
      <c r="K72" s="18"/>
      <c r="L72" s="17">
        <f t="shared" si="22"/>
        <v>0</v>
      </c>
      <c r="M72" s="18"/>
      <c r="N72" s="18"/>
      <c r="O72" s="18"/>
      <c r="P72" s="18"/>
      <c r="Q72" s="18"/>
      <c r="R72" s="18"/>
      <c r="S72" s="18"/>
      <c r="T72" s="18"/>
      <c r="U72" s="23">
        <f t="shared" si="23"/>
        <v>0</v>
      </c>
      <c r="V72" s="34"/>
      <c r="W72" s="21"/>
    </row>
    <row r="73" spans="1:27" s="4" customFormat="1" x14ac:dyDescent="0.25">
      <c r="A73" s="35"/>
      <c r="B73" s="60"/>
      <c r="C73" s="134"/>
      <c r="D73" s="134"/>
      <c r="E73" s="139"/>
      <c r="F73" s="26">
        <f>SUM(F26:F65)</f>
        <v>265006</v>
      </c>
      <c r="G73" s="27"/>
      <c r="H73" s="38">
        <f>SUM(H26:H72)</f>
        <v>454760</v>
      </c>
      <c r="I73" s="27"/>
      <c r="J73" s="28">
        <f>SUM(J26:J72)</f>
        <v>719766</v>
      </c>
      <c r="K73" s="27"/>
      <c r="L73" s="26">
        <f>SUM(L26:L72)</f>
        <v>662766</v>
      </c>
      <c r="M73" s="38">
        <f>+'Athletic Committee'!H37</f>
        <v>252142</v>
      </c>
      <c r="N73" s="27">
        <f>+'Child &amp; Family Center'!G13</f>
        <v>60621</v>
      </c>
      <c r="O73" s="27">
        <f>+'Studyaway Fund'!G19</f>
        <v>22269.17</v>
      </c>
      <c r="P73" s="27">
        <f>+'Game Room'!G19</f>
        <v>42745</v>
      </c>
      <c r="Q73" s="27">
        <f>+'YC Radio Station'!G22</f>
        <v>56715</v>
      </c>
      <c r="R73" s="27">
        <f>+APAF!H58</f>
        <v>10600</v>
      </c>
      <c r="S73" s="27">
        <f>+'Student Government'!H23</f>
        <v>150000</v>
      </c>
      <c r="T73" s="27">
        <f>+'Student Clubs'!H82</f>
        <v>12548</v>
      </c>
      <c r="U73" s="25">
        <f>SUM(U26:U72)</f>
        <v>719766</v>
      </c>
      <c r="V73" s="24">
        <f>SUM(V26:V64)</f>
        <v>0</v>
      </c>
      <c r="W73" s="31">
        <f>SUM(W26:W46)</f>
        <v>239706</v>
      </c>
      <c r="X73" s="24"/>
    </row>
    <row r="74" spans="1:27" s="4" customFormat="1" x14ac:dyDescent="0.25">
      <c r="A74" s="48" t="s">
        <v>151</v>
      </c>
      <c r="B74" s="63"/>
      <c r="C74" s="140"/>
      <c r="D74" s="136"/>
      <c r="E74" s="141"/>
      <c r="F74" s="49">
        <f>+F23-F73</f>
        <v>637922.68500000006</v>
      </c>
      <c r="G74" s="50"/>
      <c r="H74" s="50">
        <f>+H23-H73</f>
        <v>-61501</v>
      </c>
      <c r="I74" s="50"/>
      <c r="J74" s="32">
        <f>+J23-J73</f>
        <v>576421.68500000006</v>
      </c>
      <c r="K74" s="51"/>
      <c r="L74" s="49">
        <f t="shared" ref="L74:T74" si="24">L23-L73</f>
        <v>-19704.162499999977</v>
      </c>
      <c r="M74" s="50">
        <f t="shared" si="24"/>
        <v>0.28600000002188608</v>
      </c>
      <c r="N74" s="50">
        <f t="shared" si="24"/>
        <v>-461.75</v>
      </c>
      <c r="O74" s="50">
        <f t="shared" si="24"/>
        <v>22345.478000000003</v>
      </c>
      <c r="P74" s="50">
        <f t="shared" si="24"/>
        <v>-5960.2763999999952</v>
      </c>
      <c r="Q74" s="50">
        <f t="shared" si="24"/>
        <v>-8624.8879999999917</v>
      </c>
      <c r="R74" s="50">
        <f t="shared" si="24"/>
        <v>13445.056000000004</v>
      </c>
      <c r="S74" s="50">
        <f t="shared" si="24"/>
        <v>-3793.8319999999949</v>
      </c>
      <c r="T74" s="50">
        <f t="shared" si="24"/>
        <v>28534.051999999996</v>
      </c>
      <c r="U74" s="32">
        <f>+U23-U73</f>
        <v>576420.13309999998</v>
      </c>
      <c r="V74" s="27">
        <f>V23-V73</f>
        <v>1.551900000020396</v>
      </c>
      <c r="W74" s="31">
        <f>+W23-W73</f>
        <v>562429</v>
      </c>
      <c r="X74" s="24"/>
      <c r="Y74" s="24"/>
      <c r="AA74" s="24"/>
    </row>
    <row r="75" spans="1:27" s="4" customFormat="1" x14ac:dyDescent="0.25">
      <c r="A75" s="52" t="s">
        <v>152</v>
      </c>
      <c r="B75" s="64"/>
      <c r="C75" s="142"/>
      <c r="D75" s="137"/>
      <c r="E75" s="143"/>
      <c r="F75" s="53">
        <f t="shared" ref="F75:W75" si="25">+F73+F74</f>
        <v>902928.68500000006</v>
      </c>
      <c r="G75" s="54">
        <f t="shared" si="25"/>
        <v>0</v>
      </c>
      <c r="H75" s="54">
        <f t="shared" si="25"/>
        <v>393259</v>
      </c>
      <c r="I75" s="54">
        <f t="shared" si="25"/>
        <v>0</v>
      </c>
      <c r="J75" s="55">
        <f t="shared" si="25"/>
        <v>1296187.6850000001</v>
      </c>
      <c r="K75" s="56">
        <f t="shared" si="25"/>
        <v>0</v>
      </c>
      <c r="L75" s="53">
        <f t="shared" si="25"/>
        <v>643061.83750000002</v>
      </c>
      <c r="M75" s="54">
        <f t="shared" si="25"/>
        <v>252142.28600000002</v>
      </c>
      <c r="N75" s="54">
        <f t="shared" si="25"/>
        <v>60159.25</v>
      </c>
      <c r="O75" s="54">
        <f t="shared" si="25"/>
        <v>44614.648000000001</v>
      </c>
      <c r="P75" s="54">
        <f t="shared" si="25"/>
        <v>36784.723600000005</v>
      </c>
      <c r="Q75" s="54">
        <f t="shared" si="25"/>
        <v>48090.112000000008</v>
      </c>
      <c r="R75" s="54">
        <f t="shared" si="25"/>
        <v>24045.056000000004</v>
      </c>
      <c r="S75" s="54">
        <f t="shared" si="25"/>
        <v>146206.16800000001</v>
      </c>
      <c r="T75" s="54">
        <f t="shared" si="25"/>
        <v>41082.051999999996</v>
      </c>
      <c r="U75" s="55">
        <f t="shared" si="25"/>
        <v>1296186.1331</v>
      </c>
      <c r="V75" s="30">
        <f t="shared" si="25"/>
        <v>1.551900000020396</v>
      </c>
      <c r="W75" s="39">
        <f t="shared" si="25"/>
        <v>802135</v>
      </c>
      <c r="X75" s="24"/>
      <c r="Y75" s="24"/>
      <c r="AA75" s="24"/>
    </row>
    <row r="76" spans="1:27" s="4" customFormat="1" hidden="1" x14ac:dyDescent="0.25">
      <c r="A76" s="5"/>
      <c r="B76" s="57"/>
      <c r="D76" s="16"/>
      <c r="E76" s="16"/>
      <c r="F76" s="24">
        <f>SUM(F73:F75)</f>
        <v>1805857.37</v>
      </c>
      <c r="G76" s="16"/>
      <c r="H76" s="24">
        <f t="shared" ref="H76:T76" si="26">SUM(H73:H75)</f>
        <v>786518</v>
      </c>
      <c r="I76" s="24">
        <f t="shared" si="26"/>
        <v>0</v>
      </c>
      <c r="J76" s="24">
        <f t="shared" si="26"/>
        <v>2592375.37</v>
      </c>
      <c r="K76" s="24">
        <f t="shared" si="26"/>
        <v>0</v>
      </c>
      <c r="L76" s="24">
        <f t="shared" si="26"/>
        <v>1286123.675</v>
      </c>
      <c r="M76" s="24">
        <f t="shared" si="26"/>
        <v>504284.57200000004</v>
      </c>
      <c r="N76" s="24">
        <f t="shared" si="26"/>
        <v>120318.5</v>
      </c>
      <c r="O76" s="24">
        <f t="shared" si="26"/>
        <v>89229.296000000002</v>
      </c>
      <c r="P76" s="24">
        <f t="shared" si="26"/>
        <v>73569.44720000001</v>
      </c>
      <c r="Q76" s="24">
        <f t="shared" si="26"/>
        <v>96180.224000000017</v>
      </c>
      <c r="R76" s="24">
        <f t="shared" si="26"/>
        <v>48090.112000000008</v>
      </c>
      <c r="S76" s="24">
        <f t="shared" si="26"/>
        <v>292412.33600000001</v>
      </c>
      <c r="T76" s="24">
        <f t="shared" si="26"/>
        <v>82164.103999999992</v>
      </c>
      <c r="U76" s="24">
        <f>SUM(L76:T76)</f>
        <v>2592372.2662000004</v>
      </c>
      <c r="Y76" s="24"/>
    </row>
    <row r="77" spans="1:27" s="41" customFormat="1" hidden="1" x14ac:dyDescent="0.25">
      <c r="A77" s="40"/>
      <c r="B77" s="65"/>
      <c r="D77" s="42"/>
      <c r="E77" s="42"/>
      <c r="F77" s="43"/>
      <c r="G77" s="42"/>
      <c r="I77" s="42"/>
      <c r="K77" s="42"/>
      <c r="L77" s="43"/>
      <c r="S77" s="43"/>
      <c r="U77" s="43">
        <f>SUM(L74:T74)</f>
        <v>25779.963100000066</v>
      </c>
    </row>
    <row r="78" spans="1:27" s="4" customFormat="1" ht="15" customHeight="1" x14ac:dyDescent="0.25">
      <c r="A78" s="5"/>
      <c r="B78" s="57"/>
      <c r="D78" s="16"/>
      <c r="E78" s="16"/>
      <c r="G78" s="16"/>
      <c r="I78" s="16"/>
      <c r="K78" s="16"/>
      <c r="L78" s="24"/>
      <c r="M78" s="24"/>
      <c r="N78" s="24"/>
      <c r="O78" s="24"/>
      <c r="P78" s="24"/>
      <c r="Q78" s="24"/>
      <c r="R78" s="24"/>
      <c r="S78" s="24"/>
      <c r="T78" s="24"/>
      <c r="U78" s="24"/>
    </row>
    <row r="79" spans="1:27" s="148" customFormat="1" x14ac:dyDescent="0.25">
      <c r="A79" s="239"/>
      <c r="B79" s="240"/>
      <c r="D79" s="241"/>
      <c r="E79" s="241"/>
      <c r="G79" s="241"/>
      <c r="H79" s="242"/>
      <c r="I79" s="241"/>
      <c r="J79" s="242"/>
      <c r="K79" s="241"/>
      <c r="L79" s="244">
        <f>+'Budget Committee'!H60</f>
        <v>-19704.162499999977</v>
      </c>
      <c r="M79" s="244">
        <f>+'Athletic Committee'!H38</f>
        <v>0.28600000002188608</v>
      </c>
      <c r="N79" s="244">
        <f>+'Child &amp; Family Center'!G14</f>
        <v>-461.75</v>
      </c>
      <c r="O79" s="244">
        <f>+'Studyaway Fund'!G20</f>
        <v>22344.478000000003</v>
      </c>
      <c r="P79" s="244">
        <f>+'Game Room'!G20</f>
        <v>-5960.2763999999952</v>
      </c>
      <c r="Q79" s="244">
        <f>+'YC Radio Station'!G23</f>
        <v>-8624.8879999999917</v>
      </c>
      <c r="R79" s="244">
        <f>+APAF!H59</f>
        <v>13445.056000000004</v>
      </c>
      <c r="S79" s="244">
        <f>+'Student Government'!H24</f>
        <v>-3793.8319999999949</v>
      </c>
      <c r="T79" s="244">
        <f>+'Student Clubs'!H83</f>
        <v>28534.051999999996</v>
      </c>
      <c r="U79" s="238"/>
    </row>
    <row r="80" spans="1:27" s="163" customFormat="1" x14ac:dyDescent="0.25">
      <c r="A80" s="229"/>
      <c r="B80" s="230"/>
      <c r="D80" s="227"/>
      <c r="E80" s="227"/>
      <c r="G80" s="227"/>
      <c r="H80" s="164"/>
      <c r="I80" s="227"/>
      <c r="K80" s="227"/>
    </row>
    <row r="81" spans="1:24" s="225" customFormat="1" x14ac:dyDescent="0.25">
      <c r="A81" s="231"/>
      <c r="B81" s="232"/>
      <c r="D81" s="233"/>
      <c r="E81" s="233"/>
      <c r="G81" s="233"/>
      <c r="I81" s="233"/>
      <c r="K81" s="233"/>
      <c r="L81" s="225">
        <f>+L79-L74</f>
        <v>0</v>
      </c>
      <c r="M81" s="225">
        <f t="shared" ref="M81:T81" si="27">+M79-M74</f>
        <v>0</v>
      </c>
      <c r="N81" s="225">
        <f t="shared" si="27"/>
        <v>0</v>
      </c>
      <c r="O81" s="225">
        <f t="shared" si="27"/>
        <v>-1</v>
      </c>
      <c r="P81" s="225">
        <f t="shared" si="27"/>
        <v>0</v>
      </c>
      <c r="Q81" s="225">
        <f t="shared" si="27"/>
        <v>0</v>
      </c>
      <c r="R81" s="225">
        <f t="shared" si="27"/>
        <v>0</v>
      </c>
      <c r="S81" s="225">
        <f t="shared" si="27"/>
        <v>0</v>
      </c>
      <c r="T81" s="225">
        <f t="shared" si="27"/>
        <v>0</v>
      </c>
      <c r="U81" s="243"/>
    </row>
    <row r="82" spans="1:24" s="4" customFormat="1" x14ac:dyDescent="0.25">
      <c r="A82" s="5"/>
      <c r="B82" s="57"/>
      <c r="D82" s="16"/>
      <c r="E82" s="16"/>
      <c r="G82" s="16"/>
      <c r="I82" s="16"/>
      <c r="K82" s="16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</row>
    <row r="83" spans="1:24" s="4" customFormat="1" x14ac:dyDescent="0.25">
      <c r="A83" s="5"/>
      <c r="B83" s="57"/>
      <c r="D83" s="16"/>
      <c r="E83" s="16"/>
      <c r="G83" s="16"/>
      <c r="I83" s="16"/>
      <c r="K83" s="16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</row>
    <row r="84" spans="1:24" s="4" customFormat="1" x14ac:dyDescent="0.25">
      <c r="A84" s="5"/>
      <c r="B84" s="57"/>
      <c r="D84" s="16"/>
      <c r="E84" s="16"/>
      <c r="G84" s="16"/>
      <c r="I84" s="16"/>
      <c r="K84" s="16"/>
    </row>
    <row r="85" spans="1:24" s="4" customFormat="1" x14ac:dyDescent="0.25">
      <c r="A85" s="5"/>
      <c r="B85" s="57"/>
      <c r="D85" s="16"/>
      <c r="E85" s="16"/>
      <c r="G85" s="16"/>
      <c r="I85" s="16"/>
      <c r="K85" s="16"/>
    </row>
    <row r="86" spans="1:24" s="4" customFormat="1" x14ac:dyDescent="0.25">
      <c r="A86" s="5"/>
      <c r="B86" s="57"/>
      <c r="D86" s="16"/>
      <c r="E86" s="16"/>
      <c r="G86" s="16"/>
      <c r="I86" s="16"/>
      <c r="K86" s="16"/>
    </row>
    <row r="87" spans="1:24" s="4" customFormat="1" x14ac:dyDescent="0.25">
      <c r="A87" s="5"/>
      <c r="B87" s="57"/>
      <c r="D87" s="16"/>
      <c r="E87" s="16"/>
      <c r="G87" s="16"/>
      <c r="I87" s="16"/>
      <c r="K87" s="16"/>
    </row>
    <row r="88" spans="1:24" s="4" customFormat="1" x14ac:dyDescent="0.25">
      <c r="A88" s="5"/>
      <c r="B88" s="57"/>
      <c r="D88" s="16"/>
      <c r="E88" s="16"/>
      <c r="G88" s="16"/>
      <c r="I88" s="16"/>
      <c r="K88" s="16"/>
    </row>
    <row r="89" spans="1:24" s="4" customFormat="1" x14ac:dyDescent="0.25">
      <c r="A89" s="5"/>
      <c r="B89" s="57"/>
      <c r="D89" s="16"/>
      <c r="E89" s="16"/>
      <c r="G89" s="16"/>
      <c r="I89" s="16"/>
      <c r="K89" s="16"/>
    </row>
    <row r="90" spans="1:24" s="4" customFormat="1" x14ac:dyDescent="0.25">
      <c r="A90" s="5"/>
      <c r="B90" s="57"/>
      <c r="D90" s="16"/>
      <c r="E90" s="16"/>
      <c r="G90" s="16"/>
      <c r="I90" s="16"/>
      <c r="K90" s="16"/>
    </row>
    <row r="91" spans="1:24" s="4" customFormat="1" x14ac:dyDescent="0.25">
      <c r="A91" s="5"/>
      <c r="B91" s="57"/>
      <c r="D91" s="16"/>
      <c r="E91" s="16"/>
      <c r="G91" s="16"/>
      <c r="I91" s="16"/>
      <c r="K91" s="16"/>
    </row>
  </sheetData>
  <mergeCells count="3">
    <mergeCell ref="A1:U1"/>
    <mergeCell ref="A2:U2"/>
    <mergeCell ref="A3:U3"/>
  </mergeCells>
  <printOptions horizontalCentered="1"/>
  <pageMargins left="0.2" right="0.2" top="0.5" bottom="0.25" header="0.3" footer="0.3"/>
  <pageSetup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87"/>
  <sheetViews>
    <sheetView topLeftCell="B12" zoomScaleNormal="100" workbookViewId="0">
      <selection activeCell="K17" sqref="K17"/>
    </sheetView>
  </sheetViews>
  <sheetFormatPr defaultRowHeight="15" x14ac:dyDescent="0.25"/>
  <cols>
    <col min="1" max="1" width="9" style="2" bestFit="1" customWidth="1"/>
    <col min="2" max="2" width="49.42578125" customWidth="1"/>
    <col min="3" max="3" width="1.7109375" style="1" customWidth="1"/>
    <col min="4" max="4" width="10.5703125" bestFit="1" customWidth="1"/>
    <col min="5" max="5" width="1.7109375" style="1" customWidth="1"/>
    <col min="6" max="6" width="11.5703125" customWidth="1"/>
    <col min="7" max="7" width="1.7109375" style="1" customWidth="1"/>
    <col min="8" max="8" width="11.7109375" style="4" bestFit="1" customWidth="1"/>
    <col min="9" max="9" width="1.7109375" style="1" customWidth="1"/>
    <col min="10" max="10" width="16.140625" style="1" hidden="1" customWidth="1"/>
    <col min="11" max="11" width="14" style="4" customWidth="1"/>
    <col min="12" max="12" width="1.7109375" style="16" customWidth="1"/>
    <col min="13" max="13" width="10.140625" style="4" customWidth="1"/>
    <col min="14" max="14" width="8.85546875" style="110"/>
  </cols>
  <sheetData>
    <row r="1" spans="1:14" x14ac:dyDescent="0.25">
      <c r="A1" s="255" t="s">
        <v>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4" x14ac:dyDescent="0.25">
      <c r="A2" s="255" t="s">
        <v>14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14" x14ac:dyDescent="0.25">
      <c r="A3" s="255" t="s">
        <v>72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4" ht="17.25" customHeight="1" x14ac:dyDescent="0.25">
      <c r="A4" s="255" t="str">
        <f>+'Allocation '!A3:U3</f>
        <v>As of June 30, 2020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</row>
    <row r="5" spans="1:14" x14ac:dyDescent="0.25">
      <c r="B5" s="2"/>
      <c r="C5" s="2"/>
      <c r="D5" s="2"/>
      <c r="E5" s="67"/>
      <c r="F5" s="2"/>
      <c r="G5" s="67"/>
      <c r="H5" s="6"/>
      <c r="I5" s="67"/>
      <c r="J5" s="235"/>
      <c r="K5" s="6"/>
      <c r="L5" s="68"/>
      <c r="M5" s="6"/>
    </row>
    <row r="6" spans="1:14" ht="27" thickBot="1" x14ac:dyDescent="0.3">
      <c r="A6" s="2" t="s">
        <v>84</v>
      </c>
      <c r="B6" s="83" t="s">
        <v>3</v>
      </c>
      <c r="C6" s="84"/>
      <c r="D6" s="85" t="s">
        <v>4</v>
      </c>
      <c r="E6" s="86"/>
      <c r="F6" s="85" t="s">
        <v>5</v>
      </c>
      <c r="G6" s="86"/>
      <c r="H6" s="87" t="s">
        <v>6</v>
      </c>
      <c r="I6" s="86"/>
      <c r="J6" s="88" t="s">
        <v>247</v>
      </c>
      <c r="K6" s="88" t="s">
        <v>248</v>
      </c>
      <c r="L6" s="89"/>
      <c r="M6" s="87" t="s">
        <v>51</v>
      </c>
      <c r="N6" s="111"/>
    </row>
    <row r="7" spans="1:14" x14ac:dyDescent="0.25">
      <c r="A7" s="112"/>
      <c r="B7" s="90" t="s">
        <v>17</v>
      </c>
      <c r="C7" s="91"/>
      <c r="D7" s="92">
        <f>+'Allocation '!T12</f>
        <v>24637</v>
      </c>
      <c r="E7" s="93"/>
      <c r="F7" s="92">
        <v>0</v>
      </c>
      <c r="G7" s="93"/>
      <c r="H7" s="94">
        <f>D7+F7</f>
        <v>24637</v>
      </c>
      <c r="I7" s="93"/>
      <c r="J7" s="93"/>
      <c r="K7" s="94">
        <v>0</v>
      </c>
      <c r="L7" s="95"/>
      <c r="M7" s="94">
        <f>H7-J7-K7</f>
        <v>24637</v>
      </c>
      <c r="N7" s="111"/>
    </row>
    <row r="8" spans="1:14" x14ac:dyDescent="0.25">
      <c r="B8" s="90" t="s">
        <v>18</v>
      </c>
      <c r="C8" s="91"/>
      <c r="D8" s="92">
        <f>+'Allocation '!T16</f>
        <v>16445.052</v>
      </c>
      <c r="E8" s="93"/>
      <c r="F8" s="92">
        <v>0</v>
      </c>
      <c r="G8" s="93"/>
      <c r="H8" s="94">
        <f>D8+F8</f>
        <v>16445.052</v>
      </c>
      <c r="I8" s="93"/>
      <c r="J8" s="93"/>
      <c r="K8" s="94">
        <v>0</v>
      </c>
      <c r="L8" s="95"/>
      <c r="M8" s="94">
        <f>H8-J8-K8</f>
        <v>16445.052</v>
      </c>
      <c r="N8" s="113"/>
    </row>
    <row r="9" spans="1:14" hidden="1" x14ac:dyDescent="0.25">
      <c r="B9" s="90" t="s">
        <v>156</v>
      </c>
      <c r="C9" s="91"/>
      <c r="D9" s="92"/>
      <c r="E9" s="93"/>
      <c r="F9" s="92">
        <v>0</v>
      </c>
      <c r="G9" s="93"/>
      <c r="H9" s="94">
        <f>D9+F9</f>
        <v>0</v>
      </c>
      <c r="I9" s="93"/>
      <c r="J9" s="93"/>
      <c r="K9" s="94"/>
      <c r="L9" s="95"/>
      <c r="M9" s="94">
        <f>H9-K9</f>
        <v>0</v>
      </c>
      <c r="N9" s="113"/>
    </row>
    <row r="10" spans="1:14" x14ac:dyDescent="0.25">
      <c r="B10" s="96" t="s">
        <v>23</v>
      </c>
      <c r="C10" s="91"/>
      <c r="D10" s="97">
        <f>SUM(D7:D8)</f>
        <v>41082.051999999996</v>
      </c>
      <c r="E10" s="93"/>
      <c r="F10" s="97">
        <f>SUM(F7:F9)</f>
        <v>0</v>
      </c>
      <c r="G10" s="93"/>
      <c r="H10" s="97">
        <f>SUM(H7:H9)</f>
        <v>41082.051999999996</v>
      </c>
      <c r="I10" s="93"/>
      <c r="J10" s="97">
        <f>SUM(J7:J9)</f>
        <v>0</v>
      </c>
      <c r="K10" s="97">
        <f>SUM(K7:K9)</f>
        <v>0</v>
      </c>
      <c r="L10" s="95"/>
      <c r="M10" s="97">
        <f>SUM(M7:M9)</f>
        <v>41082.051999999996</v>
      </c>
      <c r="N10" s="111"/>
    </row>
    <row r="11" spans="1:14" x14ac:dyDescent="0.25">
      <c r="B11" s="99" t="s">
        <v>22</v>
      </c>
      <c r="C11" s="91"/>
      <c r="D11" s="93">
        <v>0</v>
      </c>
      <c r="E11" s="93"/>
      <c r="F11" s="93">
        <v>0</v>
      </c>
      <c r="G11" s="93"/>
      <c r="H11" s="95">
        <f>+D11+F11</f>
        <v>0</v>
      </c>
      <c r="I11" s="93"/>
      <c r="J11" s="93"/>
      <c r="K11" s="95">
        <v>0</v>
      </c>
      <c r="L11" s="95"/>
      <c r="M11" s="95">
        <f>+H11-K11</f>
        <v>0</v>
      </c>
      <c r="N11" s="111"/>
    </row>
    <row r="12" spans="1:14" x14ac:dyDescent="0.25">
      <c r="B12" s="99"/>
      <c r="C12" s="91"/>
      <c r="D12" s="93"/>
      <c r="E12" s="93"/>
      <c r="F12" s="93">
        <v>0</v>
      </c>
      <c r="G12" s="93"/>
      <c r="H12" s="95">
        <f>+D12+F12</f>
        <v>0</v>
      </c>
      <c r="I12" s="93"/>
      <c r="J12" s="93"/>
      <c r="K12" s="95">
        <v>0</v>
      </c>
      <c r="L12" s="95"/>
      <c r="M12" s="94">
        <f>H12-J12-K12</f>
        <v>0</v>
      </c>
      <c r="N12" s="111"/>
    </row>
    <row r="13" spans="1:14" x14ac:dyDescent="0.25">
      <c r="B13" s="96" t="s">
        <v>52</v>
      </c>
      <c r="C13" s="91"/>
      <c r="D13" s="97">
        <f>+D10+D11+D12</f>
        <v>41082.051999999996</v>
      </c>
      <c r="E13" s="93"/>
      <c r="F13" s="97">
        <f>+F10+F11+F12</f>
        <v>0</v>
      </c>
      <c r="G13" s="93"/>
      <c r="H13" s="97">
        <f>+H10+H11+H12</f>
        <v>41082.051999999996</v>
      </c>
      <c r="I13" s="93"/>
      <c r="J13" s="97">
        <f>+J10+J11+J12</f>
        <v>0</v>
      </c>
      <c r="K13" s="97">
        <f>+K10+K11+K12</f>
        <v>0</v>
      </c>
      <c r="L13" s="95"/>
      <c r="M13" s="97">
        <f>+M10+M11+M12</f>
        <v>41082.051999999996</v>
      </c>
      <c r="N13" s="111"/>
    </row>
    <row r="14" spans="1:14" x14ac:dyDescent="0.25">
      <c r="B14" s="96"/>
      <c r="C14" s="91"/>
      <c r="D14" s="93"/>
      <c r="E14" s="93"/>
      <c r="F14" s="93"/>
      <c r="G14" s="93"/>
      <c r="H14" s="95"/>
      <c r="I14" s="93"/>
      <c r="J14" s="93"/>
      <c r="K14" s="95"/>
      <c r="L14" s="95"/>
      <c r="M14" s="95"/>
      <c r="N14" s="111"/>
    </row>
    <row r="15" spans="1:14" ht="15" customHeight="1" x14ac:dyDescent="0.25">
      <c r="B15" s="114" t="s">
        <v>17</v>
      </c>
      <c r="C15" s="91"/>
      <c r="D15" s="93"/>
      <c r="E15" s="93"/>
      <c r="F15" s="93"/>
      <c r="G15" s="93"/>
      <c r="H15" s="95"/>
      <c r="I15" s="93"/>
      <c r="J15" s="93"/>
      <c r="K15" s="95"/>
      <c r="L15" s="95"/>
      <c r="M15" s="95"/>
      <c r="N15" s="111"/>
    </row>
    <row r="16" spans="1:14" x14ac:dyDescent="0.25">
      <c r="A16" s="115"/>
      <c r="B16" s="79" t="s">
        <v>24</v>
      </c>
      <c r="C16" s="91"/>
      <c r="D16" s="92">
        <v>4000</v>
      </c>
      <c r="E16" s="93"/>
      <c r="F16" s="92">
        <v>0</v>
      </c>
      <c r="G16" s="93"/>
      <c r="H16" s="94">
        <f>D16+F16</f>
        <v>4000</v>
      </c>
      <c r="I16" s="93"/>
      <c r="J16" s="93">
        <v>0</v>
      </c>
      <c r="K16" s="94">
        <v>4000</v>
      </c>
      <c r="L16" s="95"/>
      <c r="M16" s="94">
        <f t="shared" ref="M16" si="0">H16-K16</f>
        <v>0</v>
      </c>
      <c r="N16" s="111"/>
    </row>
    <row r="17" spans="1:15" ht="15" customHeight="1" x14ac:dyDescent="0.25">
      <c r="A17" s="115">
        <v>43733</v>
      </c>
      <c r="B17" s="79" t="s">
        <v>116</v>
      </c>
      <c r="C17" s="91"/>
      <c r="D17" s="92">
        <v>0</v>
      </c>
      <c r="E17" s="93"/>
      <c r="F17" s="92">
        <v>160</v>
      </c>
      <c r="G17" s="93"/>
      <c r="H17" s="94">
        <f t="shared" ref="H17" si="1">+D17+F17</f>
        <v>160</v>
      </c>
      <c r="I17" s="93"/>
      <c r="J17" s="93">
        <v>0</v>
      </c>
      <c r="K17" s="94">
        <v>130</v>
      </c>
      <c r="L17" s="95"/>
      <c r="M17" s="94">
        <f>H17-J17-K17</f>
        <v>30</v>
      </c>
      <c r="N17" s="111"/>
    </row>
    <row r="18" spans="1:15" s="116" customFormat="1" ht="15" customHeight="1" x14ac:dyDescent="0.25">
      <c r="A18" s="115">
        <v>43733</v>
      </c>
      <c r="B18" s="79" t="s">
        <v>94</v>
      </c>
      <c r="C18" s="91"/>
      <c r="D18" s="92">
        <v>0</v>
      </c>
      <c r="E18" s="93"/>
      <c r="F18" s="92">
        <v>450</v>
      </c>
      <c r="G18" s="93"/>
      <c r="H18" s="94">
        <f t="shared" ref="H18:H29" si="2">+D18+F18</f>
        <v>450</v>
      </c>
      <c r="I18" s="93"/>
      <c r="J18" s="93">
        <v>0</v>
      </c>
      <c r="K18" s="94">
        <v>0</v>
      </c>
      <c r="L18" s="95"/>
      <c r="M18" s="94">
        <f t="shared" ref="M18:M29" si="3">H18-J18-K18</f>
        <v>450</v>
      </c>
      <c r="N18" s="111"/>
    </row>
    <row r="19" spans="1:15" s="116" customFormat="1" ht="15" customHeight="1" x14ac:dyDescent="0.25">
      <c r="A19" s="115">
        <v>43754</v>
      </c>
      <c r="B19" s="79" t="s">
        <v>251</v>
      </c>
      <c r="C19" s="91"/>
      <c r="D19" s="92">
        <v>0</v>
      </c>
      <c r="E19" s="93"/>
      <c r="F19" s="92">
        <f>1300+700</f>
        <v>2000</v>
      </c>
      <c r="G19" s="93"/>
      <c r="H19" s="94">
        <f t="shared" si="2"/>
        <v>2000</v>
      </c>
      <c r="I19" s="93"/>
      <c r="J19" s="93">
        <v>0</v>
      </c>
      <c r="K19" s="94">
        <f>1892</f>
        <v>1892</v>
      </c>
      <c r="L19" s="95"/>
      <c r="M19" s="94">
        <f t="shared" si="3"/>
        <v>108</v>
      </c>
      <c r="N19" s="111"/>
    </row>
    <row r="20" spans="1:15" s="116" customFormat="1" ht="15" customHeight="1" x14ac:dyDescent="0.25">
      <c r="A20" s="115">
        <v>43754</v>
      </c>
      <c r="B20" s="79" t="s">
        <v>252</v>
      </c>
      <c r="C20" s="91"/>
      <c r="D20" s="92">
        <v>0</v>
      </c>
      <c r="E20" s="93"/>
      <c r="F20" s="92">
        <v>1135</v>
      </c>
      <c r="G20" s="93"/>
      <c r="H20" s="94">
        <f t="shared" si="2"/>
        <v>1135</v>
      </c>
      <c r="I20" s="93"/>
      <c r="J20" s="93">
        <v>0</v>
      </c>
      <c r="K20" s="94">
        <v>1097.76</v>
      </c>
      <c r="L20" s="95"/>
      <c r="M20" s="94">
        <f t="shared" si="3"/>
        <v>37.240000000000009</v>
      </c>
      <c r="N20" s="111"/>
    </row>
    <row r="21" spans="1:15" ht="15" customHeight="1" x14ac:dyDescent="0.25">
      <c r="A21" s="115">
        <v>43754</v>
      </c>
      <c r="B21" s="79" t="s">
        <v>253</v>
      </c>
      <c r="C21" s="91"/>
      <c r="D21" s="92">
        <v>0</v>
      </c>
      <c r="E21" s="93"/>
      <c r="F21" s="92">
        <v>450</v>
      </c>
      <c r="G21" s="93"/>
      <c r="H21" s="94">
        <f t="shared" si="2"/>
        <v>450</v>
      </c>
      <c r="I21" s="93"/>
      <c r="J21" s="93">
        <v>0</v>
      </c>
      <c r="K21" s="94">
        <v>450</v>
      </c>
      <c r="L21" s="95"/>
      <c r="M21" s="94">
        <f t="shared" si="3"/>
        <v>0</v>
      </c>
      <c r="N21" s="111"/>
    </row>
    <row r="22" spans="1:15" ht="15" customHeight="1" x14ac:dyDescent="0.25">
      <c r="A22" s="115">
        <v>43754</v>
      </c>
      <c r="B22" s="79" t="s">
        <v>254</v>
      </c>
      <c r="C22" s="91"/>
      <c r="D22" s="92">
        <v>0</v>
      </c>
      <c r="E22" s="93"/>
      <c r="F22" s="92">
        <v>105</v>
      </c>
      <c r="G22" s="93"/>
      <c r="H22" s="94">
        <f t="shared" si="2"/>
        <v>105</v>
      </c>
      <c r="I22" s="93"/>
      <c r="J22" s="93">
        <v>0</v>
      </c>
      <c r="K22" s="94">
        <v>0</v>
      </c>
      <c r="L22" s="95"/>
      <c r="M22" s="94">
        <f t="shared" si="3"/>
        <v>105</v>
      </c>
      <c r="N22" s="111"/>
      <c r="O22" s="93"/>
    </row>
    <row r="23" spans="1:15" ht="15" customHeight="1" x14ac:dyDescent="0.25">
      <c r="A23" s="115">
        <v>43770</v>
      </c>
      <c r="B23" s="79" t="s">
        <v>261</v>
      </c>
      <c r="C23" s="91"/>
      <c r="D23" s="92">
        <v>0</v>
      </c>
      <c r="E23" s="93"/>
      <c r="F23" s="92">
        <v>300</v>
      </c>
      <c r="G23" s="93"/>
      <c r="H23" s="94">
        <f t="shared" si="2"/>
        <v>300</v>
      </c>
      <c r="I23" s="93"/>
      <c r="J23" s="93">
        <v>0</v>
      </c>
      <c r="K23" s="94">
        <v>111.92</v>
      </c>
      <c r="L23" s="95"/>
      <c r="M23" s="94">
        <f t="shared" si="3"/>
        <v>188.07999999999998</v>
      </c>
      <c r="N23" s="111"/>
    </row>
    <row r="24" spans="1:15" ht="15" customHeight="1" x14ac:dyDescent="0.25">
      <c r="A24" s="115">
        <v>43770</v>
      </c>
      <c r="B24" s="79" t="s">
        <v>275</v>
      </c>
      <c r="C24" s="91"/>
      <c r="D24" s="92">
        <v>0</v>
      </c>
      <c r="E24" s="93"/>
      <c r="F24" s="92">
        <v>750</v>
      </c>
      <c r="G24" s="93"/>
      <c r="H24" s="94">
        <f t="shared" si="2"/>
        <v>750</v>
      </c>
      <c r="I24" s="93"/>
      <c r="J24" s="93">
        <v>0</v>
      </c>
      <c r="K24" s="94">
        <v>687.5</v>
      </c>
      <c r="L24" s="95"/>
      <c r="M24" s="94">
        <f t="shared" si="3"/>
        <v>62.5</v>
      </c>
      <c r="N24" s="111"/>
    </row>
    <row r="25" spans="1:15" ht="15" customHeight="1" x14ac:dyDescent="0.25">
      <c r="A25" s="115">
        <v>43770</v>
      </c>
      <c r="B25" s="79" t="s">
        <v>263</v>
      </c>
      <c r="C25" s="91"/>
      <c r="D25" s="92">
        <v>0</v>
      </c>
      <c r="E25" s="93"/>
      <c r="F25" s="92">
        <v>100</v>
      </c>
      <c r="G25" s="93"/>
      <c r="H25" s="94">
        <f t="shared" si="2"/>
        <v>100</v>
      </c>
      <c r="I25" s="93"/>
      <c r="J25" s="93">
        <v>0</v>
      </c>
      <c r="K25" s="94">
        <v>86</v>
      </c>
      <c r="L25" s="95"/>
      <c r="M25" s="94">
        <f t="shared" si="3"/>
        <v>14</v>
      </c>
      <c r="N25" s="111"/>
    </row>
    <row r="26" spans="1:15" ht="15" customHeight="1" x14ac:dyDescent="0.25">
      <c r="A26" s="115">
        <v>43770</v>
      </c>
      <c r="B26" s="79" t="s">
        <v>262</v>
      </c>
      <c r="C26" s="91"/>
      <c r="D26" s="92">
        <v>0</v>
      </c>
      <c r="E26" s="93"/>
      <c r="F26" s="92">
        <v>100</v>
      </c>
      <c r="G26" s="93"/>
      <c r="H26" s="94">
        <f t="shared" si="2"/>
        <v>100</v>
      </c>
      <c r="I26" s="93"/>
      <c r="J26" s="93">
        <v>0</v>
      </c>
      <c r="K26" s="94">
        <v>77</v>
      </c>
      <c r="L26" s="95"/>
      <c r="M26" s="94">
        <f t="shared" si="3"/>
        <v>23</v>
      </c>
      <c r="N26" s="113"/>
    </row>
    <row r="27" spans="1:15" ht="15" customHeight="1" x14ac:dyDescent="0.25">
      <c r="A27" s="115">
        <v>43770</v>
      </c>
      <c r="B27" s="79" t="s">
        <v>265</v>
      </c>
      <c r="C27" s="91"/>
      <c r="D27" s="92">
        <v>0</v>
      </c>
      <c r="E27" s="93"/>
      <c r="F27" s="92">
        <v>200</v>
      </c>
      <c r="G27" s="93"/>
      <c r="H27" s="94">
        <f t="shared" si="2"/>
        <v>200</v>
      </c>
      <c r="I27" s="93"/>
      <c r="J27" s="93">
        <v>0</v>
      </c>
      <c r="K27" s="94">
        <v>0</v>
      </c>
      <c r="L27" s="95"/>
      <c r="M27" s="94">
        <f t="shared" si="3"/>
        <v>200</v>
      </c>
      <c r="N27" s="111"/>
    </row>
    <row r="28" spans="1:15" s="116" customFormat="1" ht="15" customHeight="1" x14ac:dyDescent="0.25">
      <c r="A28" s="115">
        <v>43770</v>
      </c>
      <c r="B28" s="79" t="s">
        <v>264</v>
      </c>
      <c r="C28" s="91"/>
      <c r="D28" s="92">
        <v>0</v>
      </c>
      <c r="E28" s="93"/>
      <c r="F28" s="92">
        <v>300</v>
      </c>
      <c r="G28" s="93"/>
      <c r="H28" s="94">
        <f t="shared" si="2"/>
        <v>300</v>
      </c>
      <c r="I28" s="93"/>
      <c r="J28" s="93">
        <v>0</v>
      </c>
      <c r="K28" s="94">
        <v>0</v>
      </c>
      <c r="L28" s="95"/>
      <c r="M28" s="94">
        <f t="shared" si="3"/>
        <v>300</v>
      </c>
      <c r="N28" s="111"/>
    </row>
    <row r="29" spans="1:15" s="116" customFormat="1" ht="15" customHeight="1" x14ac:dyDescent="0.25">
      <c r="A29" s="115">
        <v>43770</v>
      </c>
      <c r="B29" s="79" t="s">
        <v>266</v>
      </c>
      <c r="C29" s="91"/>
      <c r="D29" s="92">
        <v>0</v>
      </c>
      <c r="E29" s="93"/>
      <c r="F29" s="92">
        <v>900</v>
      </c>
      <c r="G29" s="93"/>
      <c r="H29" s="94">
        <f t="shared" si="2"/>
        <v>900</v>
      </c>
      <c r="I29" s="93"/>
      <c r="J29" s="93">
        <v>0</v>
      </c>
      <c r="K29" s="94">
        <v>0</v>
      </c>
      <c r="L29" s="95"/>
      <c r="M29" s="94">
        <f t="shared" si="3"/>
        <v>900</v>
      </c>
      <c r="N29" s="111"/>
    </row>
    <row r="30" spans="1:15" ht="15" hidden="1" customHeight="1" x14ac:dyDescent="0.25">
      <c r="A30" s="115"/>
      <c r="B30" s="79"/>
      <c r="C30" s="91"/>
      <c r="D30" s="92"/>
      <c r="E30" s="93"/>
      <c r="F30" s="92"/>
      <c r="G30" s="93"/>
      <c r="H30" s="94">
        <f t="shared" ref="H30:H36" si="4">+D30+F30</f>
        <v>0</v>
      </c>
      <c r="I30" s="93"/>
      <c r="J30" s="93"/>
      <c r="K30" s="94"/>
      <c r="L30" s="95"/>
      <c r="M30" s="94">
        <f t="shared" ref="M30:M36" si="5">H30-K30</f>
        <v>0</v>
      </c>
      <c r="N30" s="113"/>
    </row>
    <row r="31" spans="1:15" ht="15" hidden="1" customHeight="1" x14ac:dyDescent="0.25">
      <c r="A31" s="115"/>
      <c r="B31" s="79"/>
      <c r="C31" s="91"/>
      <c r="D31" s="92"/>
      <c r="E31" s="93"/>
      <c r="F31" s="92"/>
      <c r="G31" s="93"/>
      <c r="H31" s="94">
        <f t="shared" si="4"/>
        <v>0</v>
      </c>
      <c r="I31" s="93"/>
      <c r="J31" s="93"/>
      <c r="K31" s="94"/>
      <c r="L31" s="95"/>
      <c r="M31" s="94">
        <f t="shared" si="5"/>
        <v>0</v>
      </c>
      <c r="N31" s="113"/>
    </row>
    <row r="32" spans="1:15" ht="15" hidden="1" customHeight="1" x14ac:dyDescent="0.25">
      <c r="A32" s="115"/>
      <c r="B32" s="79"/>
      <c r="C32" s="91"/>
      <c r="D32" s="92"/>
      <c r="E32" s="93"/>
      <c r="F32" s="92"/>
      <c r="G32" s="93"/>
      <c r="H32" s="94">
        <f t="shared" si="4"/>
        <v>0</v>
      </c>
      <c r="I32" s="93"/>
      <c r="J32" s="93"/>
      <c r="K32" s="94"/>
      <c r="L32" s="95"/>
      <c r="M32" s="94">
        <f t="shared" si="5"/>
        <v>0</v>
      </c>
      <c r="N32" s="113"/>
    </row>
    <row r="33" spans="1:14" ht="15" hidden="1" customHeight="1" x14ac:dyDescent="0.25">
      <c r="A33" s="115"/>
      <c r="B33" s="79"/>
      <c r="C33" s="91"/>
      <c r="D33" s="92"/>
      <c r="E33" s="93"/>
      <c r="F33" s="92"/>
      <c r="G33" s="93"/>
      <c r="H33" s="94">
        <f t="shared" si="4"/>
        <v>0</v>
      </c>
      <c r="I33" s="93"/>
      <c r="J33" s="93"/>
      <c r="K33" s="94"/>
      <c r="L33" s="95"/>
      <c r="M33" s="94">
        <f t="shared" si="5"/>
        <v>0</v>
      </c>
      <c r="N33" s="113"/>
    </row>
    <row r="34" spans="1:14" ht="15" hidden="1" customHeight="1" x14ac:dyDescent="0.25">
      <c r="A34" s="115"/>
      <c r="B34" s="79"/>
      <c r="C34" s="91"/>
      <c r="D34" s="92"/>
      <c r="E34" s="93"/>
      <c r="F34" s="92"/>
      <c r="G34" s="93"/>
      <c r="H34" s="94">
        <f t="shared" si="4"/>
        <v>0</v>
      </c>
      <c r="I34" s="93"/>
      <c r="J34" s="93"/>
      <c r="K34" s="94"/>
      <c r="L34" s="95"/>
      <c r="M34" s="94">
        <f t="shared" si="5"/>
        <v>0</v>
      </c>
      <c r="N34" s="113"/>
    </row>
    <row r="35" spans="1:14" ht="15" hidden="1" customHeight="1" x14ac:dyDescent="0.25">
      <c r="A35" s="115"/>
      <c r="B35" s="79"/>
      <c r="C35" s="91"/>
      <c r="D35" s="92"/>
      <c r="E35" s="93"/>
      <c r="F35" s="92"/>
      <c r="G35" s="93"/>
      <c r="H35" s="94">
        <f t="shared" si="4"/>
        <v>0</v>
      </c>
      <c r="I35" s="93"/>
      <c r="J35" s="93"/>
      <c r="K35" s="94"/>
      <c r="L35" s="95"/>
      <c r="M35" s="94">
        <f t="shared" si="5"/>
        <v>0</v>
      </c>
      <c r="N35" s="113"/>
    </row>
    <row r="36" spans="1:14" ht="15" hidden="1" customHeight="1" x14ac:dyDescent="0.25">
      <c r="A36" s="115"/>
      <c r="B36" s="79"/>
      <c r="C36" s="91"/>
      <c r="D36" s="92"/>
      <c r="E36" s="93"/>
      <c r="F36" s="92"/>
      <c r="G36" s="93"/>
      <c r="H36" s="94">
        <f t="shared" si="4"/>
        <v>0</v>
      </c>
      <c r="I36" s="93"/>
      <c r="J36" s="93"/>
      <c r="K36" s="94"/>
      <c r="L36" s="95"/>
      <c r="M36" s="94">
        <f t="shared" si="5"/>
        <v>0</v>
      </c>
      <c r="N36" s="113"/>
    </row>
    <row r="37" spans="1:14" ht="15" hidden="1" customHeight="1" x14ac:dyDescent="0.25">
      <c r="A37" s="115"/>
      <c r="B37" s="79"/>
      <c r="C37" s="91"/>
      <c r="D37" s="92"/>
      <c r="E37" s="93"/>
      <c r="F37" s="92"/>
      <c r="G37" s="93"/>
      <c r="H37" s="94"/>
      <c r="I37" s="93"/>
      <c r="J37" s="93"/>
      <c r="K37" s="94"/>
      <c r="L37" s="95"/>
      <c r="M37" s="94"/>
      <c r="N37" s="113"/>
    </row>
    <row r="38" spans="1:14" ht="15" customHeight="1" x14ac:dyDescent="0.25">
      <c r="A38" s="115"/>
      <c r="B38" s="82" t="s">
        <v>117</v>
      </c>
      <c r="C38" s="91"/>
      <c r="D38" s="97">
        <f>SUM(D22:D29)</f>
        <v>0</v>
      </c>
      <c r="E38" s="93"/>
      <c r="F38" s="97">
        <f>SUM(F17:F37)</f>
        <v>6950</v>
      </c>
      <c r="G38" s="93"/>
      <c r="H38" s="97">
        <f>SUM(H17:H37)</f>
        <v>6950</v>
      </c>
      <c r="I38" s="93"/>
      <c r="J38" s="97">
        <f>SUM(J17:J29)</f>
        <v>0</v>
      </c>
      <c r="K38" s="97">
        <f>SUM(K17:K29)</f>
        <v>4532.18</v>
      </c>
      <c r="L38" s="95"/>
      <c r="M38" s="97">
        <f>SUM(M17:M37)</f>
        <v>2417.8199999999997</v>
      </c>
      <c r="N38" s="113"/>
    </row>
    <row r="39" spans="1:14" ht="15" customHeight="1" x14ac:dyDescent="0.25">
      <c r="A39" s="115"/>
      <c r="B39" s="117" t="s">
        <v>18</v>
      </c>
      <c r="C39" s="91"/>
      <c r="D39" s="92"/>
      <c r="E39" s="93"/>
      <c r="F39" s="92"/>
      <c r="G39" s="93"/>
      <c r="H39" s="94"/>
      <c r="I39" s="93"/>
      <c r="J39" s="94"/>
      <c r="K39" s="94"/>
      <c r="L39" s="95"/>
      <c r="M39" s="94"/>
      <c r="N39" s="111"/>
    </row>
    <row r="40" spans="1:14" ht="15" hidden="1" customHeight="1" x14ac:dyDescent="0.25">
      <c r="A40" s="115"/>
      <c r="B40" s="79" t="s">
        <v>85</v>
      </c>
      <c r="C40" s="91"/>
      <c r="D40" s="92">
        <v>0</v>
      </c>
      <c r="E40" s="93"/>
      <c r="F40" s="92">
        <v>0</v>
      </c>
      <c r="G40" s="93"/>
      <c r="H40" s="94">
        <f t="shared" ref="H40:H79" si="6">+D40+F40</f>
        <v>0</v>
      </c>
      <c r="I40" s="93"/>
      <c r="J40" s="94">
        <v>0</v>
      </c>
      <c r="K40" s="94">
        <v>0</v>
      </c>
      <c r="L40" s="95"/>
      <c r="M40" s="94">
        <f t="shared" ref="M40:M79" si="7">H40-K40</f>
        <v>0</v>
      </c>
      <c r="N40" s="111"/>
    </row>
    <row r="41" spans="1:14" ht="15" hidden="1" customHeight="1" x14ac:dyDescent="0.25">
      <c r="A41" s="115"/>
      <c r="B41" s="79" t="s">
        <v>118</v>
      </c>
      <c r="C41" s="91"/>
      <c r="D41" s="92">
        <v>0</v>
      </c>
      <c r="E41" s="93"/>
      <c r="F41" s="92">
        <v>0</v>
      </c>
      <c r="G41" s="93"/>
      <c r="H41" s="94">
        <f t="shared" si="6"/>
        <v>0</v>
      </c>
      <c r="I41" s="93"/>
      <c r="J41" s="94">
        <v>0</v>
      </c>
      <c r="K41" s="94">
        <v>0</v>
      </c>
      <c r="L41" s="95"/>
      <c r="M41" s="94">
        <f t="shared" si="7"/>
        <v>0</v>
      </c>
      <c r="N41" s="111"/>
    </row>
    <row r="42" spans="1:14" ht="15" hidden="1" customHeight="1" x14ac:dyDescent="0.25">
      <c r="A42" s="115"/>
      <c r="B42" s="79" t="s">
        <v>86</v>
      </c>
      <c r="C42" s="91"/>
      <c r="D42" s="92">
        <v>0</v>
      </c>
      <c r="E42" s="93"/>
      <c r="F42" s="92">
        <v>0</v>
      </c>
      <c r="G42" s="93"/>
      <c r="H42" s="94">
        <f t="shared" si="6"/>
        <v>0</v>
      </c>
      <c r="I42" s="93"/>
      <c r="J42" s="94">
        <v>0</v>
      </c>
      <c r="K42" s="94">
        <v>0</v>
      </c>
      <c r="L42" s="95"/>
      <c r="M42" s="94">
        <f t="shared" si="7"/>
        <v>0</v>
      </c>
      <c r="N42" s="111"/>
    </row>
    <row r="43" spans="1:14" ht="15" customHeight="1" x14ac:dyDescent="0.25">
      <c r="A43" s="115">
        <v>43867</v>
      </c>
      <c r="B43" s="79" t="s">
        <v>294</v>
      </c>
      <c r="C43" s="91"/>
      <c r="D43" s="92">
        <v>0</v>
      </c>
      <c r="E43" s="93"/>
      <c r="F43" s="92">
        <v>410</v>
      </c>
      <c r="G43" s="93"/>
      <c r="H43" s="94">
        <f t="shared" si="6"/>
        <v>410</v>
      </c>
      <c r="I43" s="93"/>
      <c r="J43" s="94">
        <v>0</v>
      </c>
      <c r="K43" s="94">
        <v>0</v>
      </c>
      <c r="L43" s="95"/>
      <c r="M43" s="94">
        <f>+H43-J43-K43</f>
        <v>410</v>
      </c>
      <c r="N43" s="111"/>
    </row>
    <row r="44" spans="1:14" ht="15" hidden="1" customHeight="1" x14ac:dyDescent="0.25">
      <c r="A44" s="115"/>
      <c r="B44" s="79" t="s">
        <v>87</v>
      </c>
      <c r="C44" s="91"/>
      <c r="D44" s="92">
        <v>0</v>
      </c>
      <c r="E44" s="93"/>
      <c r="F44" s="92">
        <v>0</v>
      </c>
      <c r="G44" s="93"/>
      <c r="H44" s="94">
        <f t="shared" si="6"/>
        <v>0</v>
      </c>
      <c r="I44" s="93"/>
      <c r="J44" s="94">
        <v>0</v>
      </c>
      <c r="K44" s="94">
        <v>0</v>
      </c>
      <c r="L44" s="95"/>
      <c r="M44" s="94">
        <f t="shared" si="7"/>
        <v>0</v>
      </c>
      <c r="N44" s="111"/>
    </row>
    <row r="45" spans="1:14" ht="15" hidden="1" customHeight="1" x14ac:dyDescent="0.25">
      <c r="A45" s="115"/>
      <c r="B45" s="79" t="s">
        <v>88</v>
      </c>
      <c r="C45" s="91"/>
      <c r="D45" s="92">
        <v>0</v>
      </c>
      <c r="E45" s="93"/>
      <c r="F45" s="92">
        <v>0</v>
      </c>
      <c r="G45" s="93"/>
      <c r="H45" s="94">
        <f t="shared" si="6"/>
        <v>0</v>
      </c>
      <c r="I45" s="93"/>
      <c r="J45" s="94">
        <v>0</v>
      </c>
      <c r="K45" s="94">
        <v>0</v>
      </c>
      <c r="L45" s="95"/>
      <c r="M45" s="94">
        <f t="shared" si="7"/>
        <v>0</v>
      </c>
      <c r="N45" s="113"/>
    </row>
    <row r="46" spans="1:14" ht="15" hidden="1" customHeight="1" x14ac:dyDescent="0.25">
      <c r="A46" s="115"/>
      <c r="B46" s="79" t="s">
        <v>105</v>
      </c>
      <c r="C46" s="91"/>
      <c r="D46" s="92">
        <v>0</v>
      </c>
      <c r="E46" s="93"/>
      <c r="F46" s="92">
        <v>0</v>
      </c>
      <c r="G46" s="93"/>
      <c r="H46" s="94">
        <f t="shared" si="6"/>
        <v>0</v>
      </c>
      <c r="I46" s="93"/>
      <c r="J46" s="94">
        <v>0</v>
      </c>
      <c r="K46" s="94">
        <v>0</v>
      </c>
      <c r="L46" s="95"/>
      <c r="M46" s="94">
        <f t="shared" si="7"/>
        <v>0</v>
      </c>
      <c r="N46" s="113"/>
    </row>
    <row r="47" spans="1:14" ht="15" hidden="1" customHeight="1" x14ac:dyDescent="0.25">
      <c r="A47" s="115"/>
      <c r="B47" s="79" t="s">
        <v>106</v>
      </c>
      <c r="C47" s="91"/>
      <c r="D47" s="92">
        <v>0</v>
      </c>
      <c r="E47" s="93"/>
      <c r="F47" s="92">
        <v>0</v>
      </c>
      <c r="G47" s="93"/>
      <c r="H47" s="94">
        <f t="shared" si="6"/>
        <v>0</v>
      </c>
      <c r="I47" s="93"/>
      <c r="J47" s="94">
        <v>0</v>
      </c>
      <c r="K47" s="94">
        <v>0</v>
      </c>
      <c r="L47" s="95"/>
      <c r="M47" s="94">
        <f t="shared" si="7"/>
        <v>0</v>
      </c>
      <c r="N47" s="113"/>
    </row>
    <row r="48" spans="1:14" s="116" customFormat="1" ht="15" hidden="1" customHeight="1" x14ac:dyDescent="0.25">
      <c r="A48" s="115"/>
      <c r="B48" s="79" t="s">
        <v>89</v>
      </c>
      <c r="C48" s="91"/>
      <c r="D48" s="92">
        <v>0</v>
      </c>
      <c r="E48" s="93"/>
      <c r="F48" s="92">
        <v>0</v>
      </c>
      <c r="G48" s="93"/>
      <c r="H48" s="94">
        <f t="shared" si="6"/>
        <v>0</v>
      </c>
      <c r="I48" s="93"/>
      <c r="J48" s="94">
        <v>0</v>
      </c>
      <c r="K48" s="94">
        <v>0</v>
      </c>
      <c r="L48" s="95"/>
      <c r="M48" s="94">
        <f t="shared" si="7"/>
        <v>0</v>
      </c>
      <c r="N48" s="111"/>
    </row>
    <row r="49" spans="1:14" s="116" customFormat="1" ht="15" hidden="1" customHeight="1" x14ac:dyDescent="0.25">
      <c r="A49" s="115"/>
      <c r="B49" s="79" t="s">
        <v>107</v>
      </c>
      <c r="C49" s="91"/>
      <c r="D49" s="92">
        <v>0</v>
      </c>
      <c r="E49" s="93"/>
      <c r="F49" s="92">
        <v>0</v>
      </c>
      <c r="G49" s="93"/>
      <c r="H49" s="94">
        <f t="shared" si="6"/>
        <v>0</v>
      </c>
      <c r="I49" s="93"/>
      <c r="J49" s="94">
        <v>0</v>
      </c>
      <c r="K49" s="94">
        <v>0</v>
      </c>
      <c r="L49" s="95"/>
      <c r="M49" s="94">
        <f t="shared" si="7"/>
        <v>0</v>
      </c>
      <c r="N49" s="111"/>
    </row>
    <row r="50" spans="1:14" s="116" customFormat="1" ht="15" hidden="1" customHeight="1" x14ac:dyDescent="0.25">
      <c r="A50" s="115"/>
      <c r="B50" s="79" t="s">
        <v>90</v>
      </c>
      <c r="C50" s="91"/>
      <c r="D50" s="92">
        <v>0</v>
      </c>
      <c r="E50" s="93"/>
      <c r="F50" s="92">
        <v>0</v>
      </c>
      <c r="G50" s="93"/>
      <c r="H50" s="94">
        <f t="shared" si="6"/>
        <v>0</v>
      </c>
      <c r="I50" s="93"/>
      <c r="J50" s="94">
        <v>0</v>
      </c>
      <c r="K50" s="94">
        <v>0</v>
      </c>
      <c r="L50" s="95"/>
      <c r="M50" s="94">
        <f t="shared" si="7"/>
        <v>0</v>
      </c>
      <c r="N50" s="111"/>
    </row>
    <row r="51" spans="1:14" s="116" customFormat="1" ht="15" hidden="1" customHeight="1" x14ac:dyDescent="0.25">
      <c r="A51" s="115"/>
      <c r="B51" s="79" t="s">
        <v>119</v>
      </c>
      <c r="C51" s="91"/>
      <c r="D51" s="92">
        <v>0</v>
      </c>
      <c r="E51" s="93"/>
      <c r="F51" s="92">
        <v>0</v>
      </c>
      <c r="G51" s="93"/>
      <c r="H51" s="94">
        <f t="shared" si="6"/>
        <v>0</v>
      </c>
      <c r="I51" s="93"/>
      <c r="J51" s="94">
        <v>0</v>
      </c>
      <c r="K51" s="94">
        <v>0</v>
      </c>
      <c r="L51" s="95"/>
      <c r="M51" s="94">
        <f t="shared" si="7"/>
        <v>0</v>
      </c>
      <c r="N51" s="111"/>
    </row>
    <row r="52" spans="1:14" s="116" customFormat="1" ht="15" hidden="1" customHeight="1" x14ac:dyDescent="0.25">
      <c r="A52" s="115"/>
      <c r="B52" s="79" t="s">
        <v>120</v>
      </c>
      <c r="C52" s="91"/>
      <c r="D52" s="92">
        <v>0</v>
      </c>
      <c r="E52" s="93"/>
      <c r="F52" s="92">
        <v>0</v>
      </c>
      <c r="G52" s="93"/>
      <c r="H52" s="94">
        <f t="shared" si="6"/>
        <v>0</v>
      </c>
      <c r="I52" s="93"/>
      <c r="J52" s="94">
        <v>0</v>
      </c>
      <c r="K52" s="94">
        <v>0</v>
      </c>
      <c r="L52" s="95"/>
      <c r="M52" s="94">
        <f t="shared" si="7"/>
        <v>0</v>
      </c>
      <c r="N52" s="111"/>
    </row>
    <row r="53" spans="1:14" s="116" customFormat="1" ht="15" hidden="1" customHeight="1" x14ac:dyDescent="0.25">
      <c r="A53" s="115"/>
      <c r="B53" s="79" t="s">
        <v>108</v>
      </c>
      <c r="C53" s="91"/>
      <c r="D53" s="92">
        <v>0</v>
      </c>
      <c r="E53" s="93"/>
      <c r="F53" s="92">
        <v>0</v>
      </c>
      <c r="G53" s="93"/>
      <c r="H53" s="94">
        <f t="shared" si="6"/>
        <v>0</v>
      </c>
      <c r="I53" s="93"/>
      <c r="J53" s="94">
        <v>0</v>
      </c>
      <c r="K53" s="94">
        <v>0</v>
      </c>
      <c r="L53" s="95"/>
      <c r="M53" s="94">
        <f t="shared" si="7"/>
        <v>0</v>
      </c>
      <c r="N53" s="111"/>
    </row>
    <row r="54" spans="1:14" s="116" customFormat="1" ht="15" hidden="1" customHeight="1" x14ac:dyDescent="0.25">
      <c r="A54" s="115"/>
      <c r="B54" s="79" t="s">
        <v>121</v>
      </c>
      <c r="C54" s="91"/>
      <c r="D54" s="92">
        <v>0</v>
      </c>
      <c r="E54" s="93"/>
      <c r="F54" s="92">
        <v>0</v>
      </c>
      <c r="G54" s="93"/>
      <c r="H54" s="94">
        <f t="shared" si="6"/>
        <v>0</v>
      </c>
      <c r="I54" s="93"/>
      <c r="J54" s="94">
        <v>0</v>
      </c>
      <c r="K54" s="94">
        <v>0</v>
      </c>
      <c r="L54" s="95"/>
      <c r="M54" s="94">
        <f t="shared" si="7"/>
        <v>0</v>
      </c>
      <c r="N54" s="111"/>
    </row>
    <row r="55" spans="1:14" ht="15" hidden="1" customHeight="1" x14ac:dyDescent="0.25">
      <c r="A55" s="115"/>
      <c r="B55" s="79" t="s">
        <v>122</v>
      </c>
      <c r="C55" s="91"/>
      <c r="D55" s="92">
        <v>0</v>
      </c>
      <c r="E55" s="93"/>
      <c r="F55" s="92">
        <v>0</v>
      </c>
      <c r="G55" s="93"/>
      <c r="H55" s="94">
        <f t="shared" si="6"/>
        <v>0</v>
      </c>
      <c r="I55" s="93"/>
      <c r="J55" s="94">
        <v>0</v>
      </c>
      <c r="K55" s="94">
        <v>0</v>
      </c>
      <c r="L55" s="95"/>
      <c r="M55" s="94">
        <f t="shared" si="7"/>
        <v>0</v>
      </c>
      <c r="N55" s="111"/>
    </row>
    <row r="56" spans="1:14" ht="15" hidden="1" customHeight="1" x14ac:dyDescent="0.25">
      <c r="A56" s="115"/>
      <c r="B56" s="79" t="s">
        <v>93</v>
      </c>
      <c r="C56" s="91"/>
      <c r="D56" s="92">
        <v>0</v>
      </c>
      <c r="E56" s="93"/>
      <c r="F56" s="92">
        <v>0</v>
      </c>
      <c r="G56" s="93"/>
      <c r="H56" s="94">
        <f t="shared" si="6"/>
        <v>0</v>
      </c>
      <c r="I56" s="93"/>
      <c r="J56" s="94">
        <v>0</v>
      </c>
      <c r="K56" s="94">
        <v>0</v>
      </c>
      <c r="L56" s="95"/>
      <c r="M56" s="94">
        <f t="shared" si="7"/>
        <v>0</v>
      </c>
      <c r="N56" s="111"/>
    </row>
    <row r="57" spans="1:14" ht="15" hidden="1" customHeight="1" x14ac:dyDescent="0.25">
      <c r="A57" s="115"/>
      <c r="B57" s="79" t="s">
        <v>91</v>
      </c>
      <c r="C57" s="91"/>
      <c r="D57" s="92">
        <v>0</v>
      </c>
      <c r="E57" s="93"/>
      <c r="F57" s="92">
        <v>0</v>
      </c>
      <c r="G57" s="93"/>
      <c r="H57" s="94">
        <f t="shared" si="6"/>
        <v>0</v>
      </c>
      <c r="I57" s="93"/>
      <c r="J57" s="94">
        <v>0</v>
      </c>
      <c r="K57" s="94">
        <v>0</v>
      </c>
      <c r="L57" s="95"/>
      <c r="M57" s="94">
        <f t="shared" si="7"/>
        <v>0</v>
      </c>
      <c r="N57" s="111"/>
    </row>
    <row r="58" spans="1:14" ht="15" hidden="1" customHeight="1" x14ac:dyDescent="0.25">
      <c r="A58" s="115"/>
      <c r="B58" s="79" t="s">
        <v>123</v>
      </c>
      <c r="C58" s="91"/>
      <c r="D58" s="92">
        <v>0</v>
      </c>
      <c r="E58" s="93"/>
      <c r="F58" s="92">
        <v>0</v>
      </c>
      <c r="G58" s="93"/>
      <c r="H58" s="94">
        <f t="shared" si="6"/>
        <v>0</v>
      </c>
      <c r="I58" s="93"/>
      <c r="J58" s="94">
        <v>0</v>
      </c>
      <c r="K58" s="94">
        <v>0</v>
      </c>
      <c r="L58" s="95"/>
      <c r="M58" s="94">
        <f t="shared" si="7"/>
        <v>0</v>
      </c>
      <c r="N58" s="111"/>
    </row>
    <row r="59" spans="1:14" ht="15" hidden="1" customHeight="1" x14ac:dyDescent="0.25">
      <c r="A59" s="115"/>
      <c r="B59" s="79" t="s">
        <v>92</v>
      </c>
      <c r="C59" s="91"/>
      <c r="D59" s="92">
        <v>0</v>
      </c>
      <c r="E59" s="93"/>
      <c r="F59" s="92">
        <v>0</v>
      </c>
      <c r="G59" s="93"/>
      <c r="H59" s="94">
        <f t="shared" si="6"/>
        <v>0</v>
      </c>
      <c r="I59" s="93"/>
      <c r="J59" s="94">
        <v>0</v>
      </c>
      <c r="K59" s="94">
        <v>0</v>
      </c>
      <c r="L59" s="95"/>
      <c r="M59" s="94">
        <f t="shared" si="7"/>
        <v>0</v>
      </c>
      <c r="N59" s="113"/>
    </row>
    <row r="60" spans="1:14" ht="15" hidden="1" customHeight="1" x14ac:dyDescent="0.25">
      <c r="A60" s="115"/>
      <c r="B60" s="79" t="s">
        <v>124</v>
      </c>
      <c r="C60" s="91"/>
      <c r="D60" s="92">
        <v>0</v>
      </c>
      <c r="E60" s="93"/>
      <c r="F60" s="92">
        <v>0</v>
      </c>
      <c r="G60" s="93"/>
      <c r="H60" s="94">
        <f>+D60+F60</f>
        <v>0</v>
      </c>
      <c r="I60" s="93"/>
      <c r="J60" s="94">
        <v>0</v>
      </c>
      <c r="K60" s="94">
        <v>0</v>
      </c>
      <c r="L60" s="95"/>
      <c r="M60" s="94">
        <f>H60-K60</f>
        <v>0</v>
      </c>
      <c r="N60" s="111"/>
    </row>
    <row r="61" spans="1:14" ht="15" hidden="1" customHeight="1" x14ac:dyDescent="0.25">
      <c r="A61" s="115"/>
      <c r="B61" s="79" t="s">
        <v>110</v>
      </c>
      <c r="C61" s="91"/>
      <c r="D61" s="92">
        <v>0</v>
      </c>
      <c r="E61" s="93"/>
      <c r="F61" s="92">
        <v>0</v>
      </c>
      <c r="G61" s="93"/>
      <c r="H61" s="94">
        <f t="shared" ref="H61:H62" si="8">+D61+F61</f>
        <v>0</v>
      </c>
      <c r="I61" s="93"/>
      <c r="J61" s="94">
        <v>0</v>
      </c>
      <c r="K61" s="94">
        <v>0</v>
      </c>
      <c r="L61" s="95"/>
      <c r="M61" s="94">
        <f t="shared" ref="M61:M62" si="9">H61-K61</f>
        <v>0</v>
      </c>
      <c r="N61" s="111"/>
    </row>
    <row r="62" spans="1:14" ht="15" hidden="1" customHeight="1" x14ac:dyDescent="0.25">
      <c r="A62" s="115"/>
      <c r="B62" s="79" t="s">
        <v>125</v>
      </c>
      <c r="C62" s="91"/>
      <c r="D62" s="92">
        <v>0</v>
      </c>
      <c r="E62" s="93"/>
      <c r="F62" s="92">
        <v>0</v>
      </c>
      <c r="G62" s="93"/>
      <c r="H62" s="94">
        <f t="shared" si="8"/>
        <v>0</v>
      </c>
      <c r="I62" s="93"/>
      <c r="J62" s="94">
        <v>0</v>
      </c>
      <c r="K62" s="94">
        <v>0</v>
      </c>
      <c r="L62" s="95"/>
      <c r="M62" s="94">
        <f t="shared" si="9"/>
        <v>0</v>
      </c>
      <c r="N62" s="111"/>
    </row>
    <row r="63" spans="1:14" ht="15" hidden="1" customHeight="1" x14ac:dyDescent="0.25">
      <c r="A63" s="115"/>
      <c r="B63" s="79" t="s">
        <v>111</v>
      </c>
      <c r="C63" s="91"/>
      <c r="D63" s="92">
        <v>0</v>
      </c>
      <c r="E63" s="93"/>
      <c r="F63" s="92">
        <v>0</v>
      </c>
      <c r="G63" s="93"/>
      <c r="H63" s="94">
        <f t="shared" si="6"/>
        <v>0</v>
      </c>
      <c r="I63" s="93"/>
      <c r="J63" s="94">
        <v>0</v>
      </c>
      <c r="K63" s="94">
        <v>0</v>
      </c>
      <c r="L63" s="95"/>
      <c r="M63" s="94">
        <f t="shared" si="7"/>
        <v>0</v>
      </c>
      <c r="N63" s="113"/>
    </row>
    <row r="64" spans="1:14" ht="15" hidden="1" customHeight="1" x14ac:dyDescent="0.25">
      <c r="A64" s="115"/>
      <c r="B64" s="79" t="s">
        <v>126</v>
      </c>
      <c r="C64" s="91"/>
      <c r="D64" s="92">
        <v>0</v>
      </c>
      <c r="E64" s="93"/>
      <c r="F64" s="92">
        <v>0</v>
      </c>
      <c r="G64" s="93"/>
      <c r="H64" s="94">
        <f>+D64+F64</f>
        <v>0</v>
      </c>
      <c r="I64" s="93"/>
      <c r="J64" s="94">
        <v>0</v>
      </c>
      <c r="K64" s="94">
        <v>0</v>
      </c>
      <c r="L64" s="95"/>
      <c r="M64" s="94">
        <f>H64-K64</f>
        <v>0</v>
      </c>
      <c r="N64" s="111"/>
    </row>
    <row r="65" spans="1:14" ht="15" hidden="1" customHeight="1" x14ac:dyDescent="0.25">
      <c r="A65" s="115"/>
      <c r="B65" s="79" t="s">
        <v>127</v>
      </c>
      <c r="C65" s="91"/>
      <c r="D65" s="92">
        <v>0</v>
      </c>
      <c r="E65" s="93"/>
      <c r="F65" s="92">
        <v>0</v>
      </c>
      <c r="G65" s="93"/>
      <c r="H65" s="94">
        <f t="shared" si="6"/>
        <v>0</v>
      </c>
      <c r="I65" s="93"/>
      <c r="J65" s="94">
        <v>0</v>
      </c>
      <c r="K65" s="94">
        <v>0</v>
      </c>
      <c r="L65" s="95"/>
      <c r="M65" s="94">
        <f t="shared" si="7"/>
        <v>0</v>
      </c>
      <c r="N65" s="111"/>
    </row>
    <row r="66" spans="1:14" ht="15" hidden="1" customHeight="1" x14ac:dyDescent="0.25">
      <c r="A66" s="115"/>
      <c r="B66" s="79" t="s">
        <v>109</v>
      </c>
      <c r="C66" s="91"/>
      <c r="D66" s="92">
        <v>0</v>
      </c>
      <c r="E66" s="93"/>
      <c r="F66" s="92">
        <v>0</v>
      </c>
      <c r="G66" s="93"/>
      <c r="H66" s="94">
        <f t="shared" si="6"/>
        <v>0</v>
      </c>
      <c r="I66" s="93"/>
      <c r="J66" s="94">
        <v>0</v>
      </c>
      <c r="K66" s="94">
        <v>0</v>
      </c>
      <c r="L66" s="95"/>
      <c r="M66" s="94">
        <f t="shared" si="7"/>
        <v>0</v>
      </c>
      <c r="N66" s="111"/>
    </row>
    <row r="67" spans="1:14" ht="15" hidden="1" customHeight="1" x14ac:dyDescent="0.25">
      <c r="A67" s="115"/>
      <c r="B67" s="79" t="s">
        <v>112</v>
      </c>
      <c r="C67" s="91"/>
      <c r="D67" s="92">
        <v>0</v>
      </c>
      <c r="E67" s="93"/>
      <c r="F67" s="92">
        <v>0</v>
      </c>
      <c r="G67" s="93"/>
      <c r="H67" s="94">
        <f t="shared" si="6"/>
        <v>0</v>
      </c>
      <c r="I67" s="93"/>
      <c r="J67" s="94">
        <v>0</v>
      </c>
      <c r="K67" s="94">
        <v>0</v>
      </c>
      <c r="L67" s="95"/>
      <c r="M67" s="94">
        <f t="shared" si="7"/>
        <v>0</v>
      </c>
      <c r="N67" s="113"/>
    </row>
    <row r="68" spans="1:14" ht="15" customHeight="1" x14ac:dyDescent="0.25">
      <c r="A68" s="115">
        <v>43867</v>
      </c>
      <c r="B68" s="79" t="s">
        <v>94</v>
      </c>
      <c r="C68" s="91"/>
      <c r="D68" s="92">
        <v>0</v>
      </c>
      <c r="E68" s="93"/>
      <c r="F68" s="92">
        <v>500</v>
      </c>
      <c r="G68" s="93"/>
      <c r="H68" s="94">
        <f t="shared" si="6"/>
        <v>500</v>
      </c>
      <c r="I68" s="93"/>
      <c r="J68" s="94">
        <v>0</v>
      </c>
      <c r="K68" s="94">
        <v>0</v>
      </c>
      <c r="L68" s="95"/>
      <c r="M68" s="94">
        <f t="shared" si="7"/>
        <v>500</v>
      </c>
      <c r="N68" s="111"/>
    </row>
    <row r="69" spans="1:14" ht="15" hidden="1" customHeight="1" x14ac:dyDescent="0.25">
      <c r="A69" s="115"/>
      <c r="B69" s="79" t="s">
        <v>94</v>
      </c>
      <c r="C69" s="91"/>
      <c r="D69" s="92">
        <v>0</v>
      </c>
      <c r="E69" s="93"/>
      <c r="F69" s="92">
        <v>0</v>
      </c>
      <c r="G69" s="93"/>
      <c r="H69" s="94">
        <f t="shared" si="6"/>
        <v>0</v>
      </c>
      <c r="I69" s="93"/>
      <c r="J69" s="94">
        <v>0</v>
      </c>
      <c r="K69" s="94">
        <v>0</v>
      </c>
      <c r="L69" s="95"/>
      <c r="M69" s="94">
        <f t="shared" si="7"/>
        <v>0</v>
      </c>
      <c r="N69" s="111"/>
    </row>
    <row r="70" spans="1:14" ht="15" hidden="1" customHeight="1" x14ac:dyDescent="0.25">
      <c r="A70" s="115"/>
      <c r="B70" s="79" t="s">
        <v>128</v>
      </c>
      <c r="C70" s="91"/>
      <c r="D70" s="92">
        <v>0</v>
      </c>
      <c r="E70" s="93"/>
      <c r="F70" s="92">
        <v>0</v>
      </c>
      <c r="G70" s="93"/>
      <c r="H70" s="94">
        <f>+D70+F70</f>
        <v>0</v>
      </c>
      <c r="I70" s="93"/>
      <c r="J70" s="94">
        <v>0</v>
      </c>
      <c r="K70" s="94">
        <v>0</v>
      </c>
      <c r="L70" s="95"/>
      <c r="M70" s="94">
        <f>H70-K70</f>
        <v>0</v>
      </c>
      <c r="N70" s="111"/>
    </row>
    <row r="71" spans="1:14" ht="15" hidden="1" customHeight="1" x14ac:dyDescent="0.25">
      <c r="A71" s="115"/>
      <c r="B71" s="79" t="s">
        <v>129</v>
      </c>
      <c r="C71" s="91"/>
      <c r="D71" s="92">
        <v>0</v>
      </c>
      <c r="E71" s="93"/>
      <c r="F71" s="92">
        <v>0</v>
      </c>
      <c r="G71" s="93"/>
      <c r="H71" s="94">
        <f>+D71+F71</f>
        <v>0</v>
      </c>
      <c r="I71" s="93"/>
      <c r="J71" s="94">
        <v>0</v>
      </c>
      <c r="K71" s="94">
        <v>0</v>
      </c>
      <c r="L71" s="95"/>
      <c r="M71" s="94">
        <f>H71-K71</f>
        <v>0</v>
      </c>
      <c r="N71" s="113"/>
    </row>
    <row r="72" spans="1:14" ht="15" hidden="1" customHeight="1" x14ac:dyDescent="0.25">
      <c r="A72" s="115"/>
      <c r="B72" s="79" t="s">
        <v>113</v>
      </c>
      <c r="C72" s="91"/>
      <c r="D72" s="92">
        <v>0</v>
      </c>
      <c r="E72" s="93"/>
      <c r="F72" s="92">
        <v>0</v>
      </c>
      <c r="G72" s="93"/>
      <c r="H72" s="94">
        <f t="shared" si="6"/>
        <v>0</v>
      </c>
      <c r="I72" s="93"/>
      <c r="J72" s="94">
        <v>0</v>
      </c>
      <c r="K72" s="94">
        <v>0</v>
      </c>
      <c r="L72" s="95"/>
      <c r="M72" s="94">
        <f t="shared" si="7"/>
        <v>0</v>
      </c>
      <c r="N72" s="111"/>
    </row>
    <row r="73" spans="1:14" ht="15" hidden="1" customHeight="1" x14ac:dyDescent="0.25">
      <c r="A73" s="115"/>
      <c r="B73" s="79" t="s">
        <v>114</v>
      </c>
      <c r="C73" s="91"/>
      <c r="D73" s="92">
        <v>0</v>
      </c>
      <c r="E73" s="93"/>
      <c r="F73" s="92">
        <v>0</v>
      </c>
      <c r="G73" s="93"/>
      <c r="H73" s="94">
        <f>+D73+F73</f>
        <v>0</v>
      </c>
      <c r="I73" s="93"/>
      <c r="J73" s="94">
        <v>0</v>
      </c>
      <c r="K73" s="94">
        <v>0</v>
      </c>
      <c r="L73" s="95"/>
      <c r="M73" s="94">
        <f>H73-K73</f>
        <v>0</v>
      </c>
      <c r="N73" s="111"/>
    </row>
    <row r="74" spans="1:14" ht="15" hidden="1" customHeight="1" x14ac:dyDescent="0.25">
      <c r="A74" s="115"/>
      <c r="B74" s="79" t="s">
        <v>130</v>
      </c>
      <c r="C74" s="91"/>
      <c r="D74" s="92">
        <v>0</v>
      </c>
      <c r="E74" s="93"/>
      <c r="F74" s="92">
        <v>0</v>
      </c>
      <c r="G74" s="93"/>
      <c r="H74" s="94">
        <f t="shared" si="6"/>
        <v>0</v>
      </c>
      <c r="I74" s="93"/>
      <c r="J74" s="94">
        <v>0</v>
      </c>
      <c r="K74" s="94">
        <v>0</v>
      </c>
      <c r="L74" s="95"/>
      <c r="M74" s="94">
        <f t="shared" si="7"/>
        <v>0</v>
      </c>
      <c r="N74" s="111"/>
    </row>
    <row r="75" spans="1:14" ht="15" hidden="1" customHeight="1" x14ac:dyDescent="0.25">
      <c r="A75" s="115"/>
      <c r="B75" s="79" t="s">
        <v>95</v>
      </c>
      <c r="C75" s="91"/>
      <c r="D75" s="92">
        <v>0</v>
      </c>
      <c r="E75" s="93"/>
      <c r="F75" s="92">
        <v>0</v>
      </c>
      <c r="G75" s="93"/>
      <c r="H75" s="94">
        <f t="shared" si="6"/>
        <v>0</v>
      </c>
      <c r="I75" s="93"/>
      <c r="J75" s="94">
        <v>0</v>
      </c>
      <c r="K75" s="94">
        <v>0</v>
      </c>
      <c r="L75" s="95"/>
      <c r="M75" s="94">
        <f t="shared" si="7"/>
        <v>0</v>
      </c>
      <c r="N75" s="111"/>
    </row>
    <row r="76" spans="1:14" ht="15" hidden="1" customHeight="1" x14ac:dyDescent="0.25">
      <c r="A76" s="115"/>
      <c r="B76" s="79" t="s">
        <v>115</v>
      </c>
      <c r="C76" s="91"/>
      <c r="D76" s="92">
        <v>0</v>
      </c>
      <c r="E76" s="93"/>
      <c r="F76" s="92">
        <v>0</v>
      </c>
      <c r="G76" s="93"/>
      <c r="H76" s="94">
        <f t="shared" si="6"/>
        <v>0</v>
      </c>
      <c r="I76" s="93"/>
      <c r="J76" s="94">
        <v>0</v>
      </c>
      <c r="K76" s="94">
        <v>0</v>
      </c>
      <c r="L76" s="95"/>
      <c r="M76" s="94">
        <f t="shared" si="7"/>
        <v>0</v>
      </c>
      <c r="N76" s="113"/>
    </row>
    <row r="77" spans="1:14" ht="15" customHeight="1" x14ac:dyDescent="0.25">
      <c r="A77" s="115">
        <v>43867</v>
      </c>
      <c r="B77" s="79" t="s">
        <v>295</v>
      </c>
      <c r="C77" s="91"/>
      <c r="D77" s="92">
        <v>0</v>
      </c>
      <c r="E77" s="93"/>
      <c r="F77" s="92">
        <v>568</v>
      </c>
      <c r="G77" s="93"/>
      <c r="H77" s="94">
        <f t="shared" si="6"/>
        <v>568</v>
      </c>
      <c r="I77" s="93"/>
      <c r="J77" s="94">
        <v>0</v>
      </c>
      <c r="K77" s="94">
        <v>0</v>
      </c>
      <c r="L77" s="95"/>
      <c r="M77" s="94">
        <f t="shared" si="7"/>
        <v>568</v>
      </c>
      <c r="N77" s="113"/>
    </row>
    <row r="78" spans="1:14" ht="15" hidden="1" customHeight="1" x14ac:dyDescent="0.25">
      <c r="A78" s="115"/>
      <c r="B78" s="79" t="s">
        <v>116</v>
      </c>
      <c r="C78" s="91"/>
      <c r="D78" s="92">
        <v>0</v>
      </c>
      <c r="E78" s="93"/>
      <c r="F78" s="92">
        <v>0</v>
      </c>
      <c r="G78" s="93"/>
      <c r="H78" s="94">
        <f t="shared" si="6"/>
        <v>0</v>
      </c>
      <c r="I78" s="93"/>
      <c r="J78" s="94">
        <v>0</v>
      </c>
      <c r="K78" s="94">
        <v>0</v>
      </c>
      <c r="L78" s="95"/>
      <c r="M78" s="94">
        <f t="shared" si="7"/>
        <v>0</v>
      </c>
      <c r="N78" s="111"/>
    </row>
    <row r="79" spans="1:14" ht="15" customHeight="1" x14ac:dyDescent="0.25">
      <c r="A79" s="115">
        <v>43867</v>
      </c>
      <c r="B79" s="79" t="s">
        <v>131</v>
      </c>
      <c r="C79" s="91"/>
      <c r="D79" s="92">
        <v>0</v>
      </c>
      <c r="E79" s="93"/>
      <c r="F79" s="92">
        <v>120</v>
      </c>
      <c r="G79" s="93"/>
      <c r="H79" s="94">
        <f t="shared" si="6"/>
        <v>120</v>
      </c>
      <c r="I79" s="93"/>
      <c r="J79" s="94">
        <v>0</v>
      </c>
      <c r="K79" s="94">
        <v>0</v>
      </c>
      <c r="L79" s="95"/>
      <c r="M79" s="94">
        <f t="shared" si="7"/>
        <v>120</v>
      </c>
      <c r="N79" s="111"/>
    </row>
    <row r="80" spans="1:14" ht="15" customHeight="1" x14ac:dyDescent="0.25">
      <c r="A80" s="115"/>
      <c r="B80" s="118" t="s">
        <v>132</v>
      </c>
      <c r="C80" s="91"/>
      <c r="D80" s="97">
        <f>SUM(D45:D79)</f>
        <v>0</v>
      </c>
      <c r="E80" s="93"/>
      <c r="F80" s="97">
        <f>SUM(F40:F79)</f>
        <v>1598</v>
      </c>
      <c r="G80" s="93"/>
      <c r="H80" s="97">
        <f>SUM(H40:H79)</f>
        <v>1598</v>
      </c>
      <c r="I80" s="93"/>
      <c r="J80" s="97">
        <f>SUM(J40:J79)</f>
        <v>0</v>
      </c>
      <c r="K80" s="97">
        <f>SUM(K40:K79)</f>
        <v>0</v>
      </c>
      <c r="L80" s="95"/>
      <c r="M80" s="97">
        <f>SUM(M40:M79)</f>
        <v>1598</v>
      </c>
      <c r="N80" s="113"/>
    </row>
    <row r="81" spans="1:14" x14ac:dyDescent="0.25">
      <c r="A81" s="119"/>
      <c r="B81" s="82" t="s">
        <v>96</v>
      </c>
      <c r="C81" s="91"/>
      <c r="D81" s="97">
        <f>SUM(D22:D79)</f>
        <v>0</v>
      </c>
      <c r="E81" s="93"/>
      <c r="F81" s="97">
        <f>F38+F80</f>
        <v>8548</v>
      </c>
      <c r="G81" s="93"/>
      <c r="H81" s="97">
        <f>H38+H80</f>
        <v>8548</v>
      </c>
      <c r="I81" s="93"/>
      <c r="J81" s="97">
        <f>+J38</f>
        <v>0</v>
      </c>
      <c r="K81" s="97">
        <f>+K38</f>
        <v>4532.18</v>
      </c>
      <c r="L81" s="95"/>
      <c r="M81" s="97">
        <f>M38+M80</f>
        <v>4015.8199999999997</v>
      </c>
      <c r="N81" s="113"/>
    </row>
    <row r="82" spans="1:14" x14ac:dyDescent="0.25">
      <c r="A82" s="119"/>
      <c r="B82" s="82" t="s">
        <v>44</v>
      </c>
      <c r="C82" s="91"/>
      <c r="D82" s="97">
        <f>+D16+D81</f>
        <v>4000</v>
      </c>
      <c r="E82" s="93"/>
      <c r="F82" s="97">
        <f>+F16+F81</f>
        <v>8548</v>
      </c>
      <c r="G82" s="93"/>
      <c r="H82" s="97">
        <f>H16+H81</f>
        <v>12548</v>
      </c>
      <c r="I82" s="93"/>
      <c r="J82" s="97">
        <f>J16+J81</f>
        <v>0</v>
      </c>
      <c r="K82" s="97">
        <f>K16+K81</f>
        <v>8532.18</v>
      </c>
      <c r="L82" s="93"/>
      <c r="M82" s="97">
        <f>+M16+M81</f>
        <v>4015.8199999999997</v>
      </c>
      <c r="N82" s="113"/>
    </row>
    <row r="83" spans="1:14" x14ac:dyDescent="0.25">
      <c r="A83" s="119"/>
      <c r="B83" s="82" t="s">
        <v>45</v>
      </c>
      <c r="C83" s="91"/>
      <c r="D83" s="97">
        <f>D13-D82</f>
        <v>37082.051999999996</v>
      </c>
      <c r="E83" s="93"/>
      <c r="F83" s="93"/>
      <c r="G83" s="93"/>
      <c r="H83" s="97">
        <f>H13-H82</f>
        <v>28534.051999999996</v>
      </c>
      <c r="I83" s="93"/>
      <c r="J83" s="93"/>
      <c r="K83" s="93"/>
      <c r="L83" s="93"/>
      <c r="M83" s="93"/>
      <c r="N83" s="113"/>
    </row>
    <row r="84" spans="1:14" ht="15" hidden="1" customHeight="1" x14ac:dyDescent="0.25">
      <c r="A84" s="119"/>
      <c r="B84" s="96" t="s">
        <v>133</v>
      </c>
      <c r="C84" s="91"/>
      <c r="D84" s="120">
        <v>0</v>
      </c>
      <c r="E84" s="121"/>
      <c r="F84" s="92">
        <v>0</v>
      </c>
      <c r="G84" s="121"/>
      <c r="H84" s="94">
        <f>+D84+F84</f>
        <v>0</v>
      </c>
      <c r="I84" s="121"/>
      <c r="J84" s="121"/>
      <c r="K84" s="122">
        <v>0</v>
      </c>
      <c r="L84" s="123"/>
      <c r="M84" s="122">
        <v>0</v>
      </c>
      <c r="N84" s="111"/>
    </row>
    <row r="85" spans="1:14" ht="15" hidden="1" customHeight="1" x14ac:dyDescent="0.25">
      <c r="B85" s="96" t="s">
        <v>134</v>
      </c>
      <c r="D85" s="97">
        <f>+D83+D84</f>
        <v>37082.051999999996</v>
      </c>
      <c r="E85" s="93"/>
      <c r="F85" s="108">
        <f>+F83+F84</f>
        <v>0</v>
      </c>
      <c r="G85" s="93"/>
      <c r="H85" s="98">
        <f>+H83+H84</f>
        <v>28534.051999999996</v>
      </c>
      <c r="I85" s="93"/>
      <c r="J85" s="93"/>
      <c r="K85" s="124">
        <f>+K83+K84</f>
        <v>0</v>
      </c>
      <c r="L85" s="95"/>
      <c r="M85" s="124">
        <f>+M83+M84</f>
        <v>0</v>
      </c>
    </row>
    <row r="86" spans="1:14" x14ac:dyDescent="0.25">
      <c r="F86" s="1"/>
      <c r="K86" s="125"/>
      <c r="M86" s="16"/>
    </row>
    <row r="87" spans="1:14" x14ac:dyDescent="0.25">
      <c r="H87" s="24"/>
      <c r="K87" s="24"/>
    </row>
  </sheetData>
  <sortState ref="A16:L63">
    <sortCondition ref="A16:A63"/>
  </sortState>
  <mergeCells count="4">
    <mergeCell ref="A1:M1"/>
    <mergeCell ref="A2:M2"/>
    <mergeCell ref="A3:M3"/>
    <mergeCell ref="A4:M4"/>
  </mergeCells>
  <printOptions horizontalCentered="1"/>
  <pageMargins left="0.25" right="0.25" top="0.25" bottom="0.3" header="0.3" footer="0"/>
  <pageSetup scale="94" orientation="landscape" r:id="rId1"/>
  <headerFooter scaleWithDoc="0">
    <firstFooter>&amp;R
&amp;P&amp;N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M22"/>
  <sheetViews>
    <sheetView workbookViewId="0">
      <selection activeCell="J15" sqref="J15"/>
    </sheetView>
  </sheetViews>
  <sheetFormatPr defaultRowHeight="15" x14ac:dyDescent="0.25"/>
  <cols>
    <col min="1" max="1" width="41.85546875" bestFit="1" customWidth="1"/>
    <col min="2" max="2" width="1.7109375" style="1" customWidth="1"/>
    <col min="3" max="3" width="10.5703125" bestFit="1" customWidth="1"/>
    <col min="4" max="4" width="1.7109375" style="1" customWidth="1"/>
    <col min="5" max="5" width="11.5703125" customWidth="1"/>
    <col min="6" max="6" width="1.7109375" style="1" customWidth="1"/>
    <col min="7" max="7" width="11.7109375" style="4" bestFit="1" customWidth="1"/>
    <col min="8" max="8" width="1.7109375" style="1" customWidth="1"/>
    <col min="9" max="9" width="14.28515625" style="1" hidden="1" customWidth="1"/>
    <col min="10" max="10" width="14" style="4" customWidth="1"/>
    <col min="11" max="11" width="1.7109375" style="16" customWidth="1"/>
    <col min="12" max="12" width="10.140625" style="4" customWidth="1"/>
  </cols>
  <sheetData>
    <row r="1" spans="1:13" x14ac:dyDescent="0.25">
      <c r="A1" s="255" t="s">
        <v>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3" x14ac:dyDescent="0.25">
      <c r="A2" s="255" t="s">
        <v>135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3" x14ac:dyDescent="0.25">
      <c r="A3" s="255" t="s">
        <v>72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</row>
    <row r="4" spans="1:13" ht="14.45" customHeight="1" x14ac:dyDescent="0.25">
      <c r="A4" s="255" t="str">
        <f>+'Allocation '!A3:U3</f>
        <v>As of June 30, 2020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3" x14ac:dyDescent="0.25">
      <c r="A5" s="2"/>
      <c r="B5" s="2"/>
      <c r="C5" s="2"/>
      <c r="D5" s="67"/>
      <c r="E5" s="2"/>
      <c r="F5" s="67"/>
      <c r="G5" s="6"/>
      <c r="H5" s="67"/>
      <c r="I5" s="226"/>
      <c r="J5" s="6"/>
      <c r="K5" s="68"/>
      <c r="L5" s="6"/>
    </row>
    <row r="6" spans="1:13" ht="39.75" thickBot="1" x14ac:dyDescent="0.3">
      <c r="A6" s="83"/>
      <c r="B6" s="84"/>
      <c r="C6" s="85" t="s">
        <v>4</v>
      </c>
      <c r="D6" s="86"/>
      <c r="E6" s="85" t="s">
        <v>5</v>
      </c>
      <c r="F6" s="86"/>
      <c r="G6" s="87" t="s">
        <v>6</v>
      </c>
      <c r="H6" s="86"/>
      <c r="I6" s="88" t="s">
        <v>247</v>
      </c>
      <c r="J6" s="88" t="s">
        <v>248</v>
      </c>
      <c r="K6" s="89"/>
      <c r="L6" s="87" t="s">
        <v>51</v>
      </c>
      <c r="M6" s="90"/>
    </row>
    <row r="7" spans="1:13" x14ac:dyDescent="0.25">
      <c r="A7" s="90" t="s">
        <v>136</v>
      </c>
      <c r="B7" s="91"/>
      <c r="C7" s="92">
        <v>40000</v>
      </c>
      <c r="D7" s="93"/>
      <c r="E7" s="92">
        <v>15000</v>
      </c>
      <c r="F7" s="93"/>
      <c r="G7" s="94">
        <f>C7+E7</f>
        <v>55000</v>
      </c>
      <c r="H7" s="93"/>
      <c r="I7" s="93"/>
      <c r="J7" s="94">
        <v>0</v>
      </c>
      <c r="K7" s="95"/>
      <c r="L7" s="94">
        <f>G7-I7-J7</f>
        <v>55000</v>
      </c>
      <c r="M7" s="90"/>
    </row>
    <row r="8" spans="1:13" x14ac:dyDescent="0.25">
      <c r="A8" s="96" t="s">
        <v>137</v>
      </c>
      <c r="B8" s="91"/>
      <c r="C8" s="97">
        <f>SUM(C7:C7)</f>
        <v>40000</v>
      </c>
      <c r="D8" s="93"/>
      <c r="E8" s="97">
        <f>SUM(E7:E7)</f>
        <v>15000</v>
      </c>
      <c r="F8" s="93"/>
      <c r="G8" s="98">
        <f>SUM(G7:G7)</f>
        <v>55000</v>
      </c>
      <c r="H8" s="93"/>
      <c r="I8" s="98">
        <f>SUM(I7:I7)</f>
        <v>0</v>
      </c>
      <c r="J8" s="98">
        <f>SUM(J7:J7)</f>
        <v>0</v>
      </c>
      <c r="K8" s="95"/>
      <c r="L8" s="98">
        <f>SUM(L7:L7)</f>
        <v>55000</v>
      </c>
      <c r="M8" s="90"/>
    </row>
    <row r="9" spans="1:13" x14ac:dyDescent="0.25">
      <c r="A9" s="96"/>
      <c r="B9" s="91"/>
      <c r="C9" s="93"/>
      <c r="D9" s="93"/>
      <c r="E9" s="93"/>
      <c r="F9" s="93"/>
      <c r="G9" s="95"/>
      <c r="H9" s="93"/>
      <c r="I9" s="93"/>
      <c r="J9" s="95"/>
      <c r="K9" s="95"/>
      <c r="L9" s="95"/>
      <c r="M9" s="90"/>
    </row>
    <row r="10" spans="1:13" x14ac:dyDescent="0.25">
      <c r="A10" s="90" t="s">
        <v>138</v>
      </c>
      <c r="B10" s="91"/>
      <c r="C10" s="92">
        <v>0</v>
      </c>
      <c r="D10" s="93"/>
      <c r="E10" s="92">
        <v>8000</v>
      </c>
      <c r="F10" s="93"/>
      <c r="G10" s="94">
        <f t="shared" ref="G10:G19" si="0">C10+E10</f>
        <v>8000</v>
      </c>
      <c r="H10" s="93"/>
      <c r="I10" s="93">
        <v>0</v>
      </c>
      <c r="J10" s="94">
        <v>4425</v>
      </c>
      <c r="K10" s="95"/>
      <c r="L10" s="94">
        <f>G10-I10-J10</f>
        <v>3575</v>
      </c>
      <c r="M10" s="90"/>
    </row>
    <row r="11" spans="1:13" x14ac:dyDescent="0.25">
      <c r="A11" s="90" t="s">
        <v>104</v>
      </c>
      <c r="B11" s="91"/>
      <c r="C11" s="92">
        <v>0</v>
      </c>
      <c r="D11" s="93"/>
      <c r="E11" s="92">
        <v>27000</v>
      </c>
      <c r="F11" s="93"/>
      <c r="G11" s="94">
        <f t="shared" si="0"/>
        <v>27000</v>
      </c>
      <c r="H11" s="93"/>
      <c r="I11" s="93"/>
      <c r="J11" s="94">
        <v>6420</v>
      </c>
      <c r="K11" s="95"/>
      <c r="L11" s="94">
        <f t="shared" ref="L11:L17" si="1">G11-I11-J11</f>
        <v>20580</v>
      </c>
      <c r="M11" s="90"/>
    </row>
    <row r="12" spans="1:13" x14ac:dyDescent="0.25">
      <c r="A12" s="90" t="s">
        <v>147</v>
      </c>
      <c r="B12" s="91"/>
      <c r="C12" s="92">
        <v>0</v>
      </c>
      <c r="D12" s="93"/>
      <c r="E12" s="92">
        <v>13760</v>
      </c>
      <c r="F12" s="93"/>
      <c r="G12" s="94">
        <f t="shared" ref="G12:G14" si="2">C12+E12</f>
        <v>13760</v>
      </c>
      <c r="H12" s="93"/>
      <c r="I12" s="93">
        <v>0</v>
      </c>
      <c r="J12" s="94">
        <v>4160</v>
      </c>
      <c r="K12" s="95"/>
      <c r="L12" s="94">
        <f t="shared" si="1"/>
        <v>9600</v>
      </c>
      <c r="M12" s="90"/>
    </row>
    <row r="13" spans="1:13" x14ac:dyDescent="0.25">
      <c r="A13" s="90" t="s">
        <v>148</v>
      </c>
      <c r="B13" s="91"/>
      <c r="C13" s="92">
        <v>0</v>
      </c>
      <c r="D13" s="93"/>
      <c r="E13" s="92">
        <v>750</v>
      </c>
      <c r="F13" s="93"/>
      <c r="G13" s="94">
        <f t="shared" si="2"/>
        <v>750</v>
      </c>
      <c r="H13" s="93"/>
      <c r="I13" s="93"/>
      <c r="J13" s="94">
        <v>0</v>
      </c>
      <c r="K13" s="95"/>
      <c r="L13" s="94">
        <f t="shared" si="1"/>
        <v>750</v>
      </c>
      <c r="M13" s="90"/>
    </row>
    <row r="14" spans="1:13" x14ac:dyDescent="0.25">
      <c r="A14" s="90" t="s">
        <v>77</v>
      </c>
      <c r="B14" s="91"/>
      <c r="C14" s="92">
        <v>0</v>
      </c>
      <c r="D14" s="93"/>
      <c r="E14" s="92">
        <v>2800</v>
      </c>
      <c r="F14" s="93"/>
      <c r="G14" s="94">
        <f t="shared" si="2"/>
        <v>2800</v>
      </c>
      <c r="H14" s="93"/>
      <c r="I14" s="93">
        <v>0</v>
      </c>
      <c r="J14" s="94">
        <f>994+65</f>
        <v>1059</v>
      </c>
      <c r="K14" s="95"/>
      <c r="L14" s="94">
        <f t="shared" si="1"/>
        <v>1741</v>
      </c>
      <c r="M14" s="90"/>
    </row>
    <row r="15" spans="1:13" x14ac:dyDescent="0.25">
      <c r="A15" s="90" t="s">
        <v>139</v>
      </c>
      <c r="B15" s="91"/>
      <c r="C15" s="92">
        <v>0</v>
      </c>
      <c r="D15" s="93"/>
      <c r="E15" s="92">
        <v>390</v>
      </c>
      <c r="F15" s="93"/>
      <c r="G15" s="94">
        <f>C15+E15</f>
        <v>390</v>
      </c>
      <c r="H15" s="93"/>
      <c r="I15" s="93"/>
      <c r="J15" s="94">
        <v>0</v>
      </c>
      <c r="K15" s="95"/>
      <c r="L15" s="94">
        <f t="shared" si="1"/>
        <v>390</v>
      </c>
      <c r="M15" s="90"/>
    </row>
    <row r="16" spans="1:13" hidden="1" x14ac:dyDescent="0.25">
      <c r="A16" s="90" t="s">
        <v>140</v>
      </c>
      <c r="B16" s="91"/>
      <c r="C16" s="92">
        <v>0</v>
      </c>
      <c r="D16" s="93"/>
      <c r="E16" s="92">
        <v>0</v>
      </c>
      <c r="F16" s="93"/>
      <c r="G16" s="94">
        <f>C16+E16</f>
        <v>0</v>
      </c>
      <c r="H16" s="93"/>
      <c r="I16" s="93"/>
      <c r="J16" s="94">
        <v>0</v>
      </c>
      <c r="K16" s="95"/>
      <c r="L16" s="94">
        <f t="shared" si="1"/>
        <v>0</v>
      </c>
      <c r="M16" s="90"/>
    </row>
    <row r="17" spans="1:13" x14ac:dyDescent="0.25">
      <c r="A17" s="90" t="s">
        <v>141</v>
      </c>
      <c r="B17" s="91"/>
      <c r="C17" s="92">
        <v>0</v>
      </c>
      <c r="D17" s="93"/>
      <c r="E17" s="92">
        <v>2300</v>
      </c>
      <c r="F17" s="93"/>
      <c r="G17" s="94">
        <f t="shared" si="0"/>
        <v>2300</v>
      </c>
      <c r="H17" s="93"/>
      <c r="I17" s="93"/>
      <c r="J17" s="94">
        <v>0</v>
      </c>
      <c r="K17" s="95"/>
      <c r="L17" s="94">
        <f t="shared" si="1"/>
        <v>2300</v>
      </c>
      <c r="M17" s="90"/>
    </row>
    <row r="18" spans="1:13" hidden="1" x14ac:dyDescent="0.25">
      <c r="A18" s="90" t="s">
        <v>66</v>
      </c>
      <c r="B18" s="91"/>
      <c r="C18" s="92">
        <v>0</v>
      </c>
      <c r="D18" s="93"/>
      <c r="E18" s="92">
        <f>500-500</f>
        <v>0</v>
      </c>
      <c r="F18" s="93"/>
      <c r="G18" s="94">
        <f t="shared" si="0"/>
        <v>0</v>
      </c>
      <c r="H18" s="93"/>
      <c r="I18" s="93"/>
      <c r="J18" s="94">
        <v>0</v>
      </c>
      <c r="K18" s="95"/>
      <c r="L18" s="94">
        <f t="shared" ref="L18" si="3">G18-J18</f>
        <v>0</v>
      </c>
      <c r="M18" s="90"/>
    </row>
    <row r="19" spans="1:13" hidden="1" x14ac:dyDescent="0.25">
      <c r="A19" s="90" t="s">
        <v>142</v>
      </c>
      <c r="B19" s="91"/>
      <c r="C19" s="92">
        <v>0</v>
      </c>
      <c r="D19" s="93"/>
      <c r="E19" s="92">
        <v>0</v>
      </c>
      <c r="F19" s="93"/>
      <c r="G19" s="94">
        <f t="shared" si="0"/>
        <v>0</v>
      </c>
      <c r="H19" s="93"/>
      <c r="I19" s="93"/>
      <c r="J19" s="94">
        <v>0</v>
      </c>
      <c r="K19" s="95"/>
      <c r="L19" s="94">
        <f>G19-J19</f>
        <v>0</v>
      </c>
      <c r="M19" s="90"/>
    </row>
    <row r="20" spans="1:13" x14ac:dyDescent="0.25">
      <c r="A20" s="82" t="s">
        <v>44</v>
      </c>
      <c r="B20" s="91"/>
      <c r="C20" s="97">
        <f>SUM(C10:C19)</f>
        <v>0</v>
      </c>
      <c r="D20" s="93"/>
      <c r="E20" s="97">
        <f>SUM(E10:E19)</f>
        <v>55000</v>
      </c>
      <c r="F20" s="93"/>
      <c r="G20" s="97">
        <f>SUM(G10:G19)</f>
        <v>55000</v>
      </c>
      <c r="H20" s="93"/>
      <c r="I20" s="97">
        <f>SUM(I10:I19)</f>
        <v>0</v>
      </c>
      <c r="J20" s="97">
        <f>SUM(J10:J19)</f>
        <v>16064</v>
      </c>
      <c r="K20" s="93"/>
      <c r="L20" s="97">
        <f>SUM(L10:L19)</f>
        <v>38936</v>
      </c>
      <c r="M20" s="90"/>
    </row>
    <row r="21" spans="1:13" x14ac:dyDescent="0.25">
      <c r="A21" s="82" t="s">
        <v>45</v>
      </c>
      <c r="B21" s="91"/>
      <c r="C21" s="97">
        <f>C8-C20</f>
        <v>40000</v>
      </c>
      <c r="D21" s="93"/>
      <c r="E21" s="93"/>
      <c r="F21" s="93"/>
      <c r="G21" s="97">
        <f>G8-G20</f>
        <v>0</v>
      </c>
      <c r="H21" s="93"/>
      <c r="I21" s="93"/>
      <c r="J21" s="93"/>
      <c r="K21" s="93"/>
      <c r="L21" s="93"/>
      <c r="M21" s="90"/>
    </row>
    <row r="22" spans="1:13" x14ac:dyDescent="0.25">
      <c r="A22" s="90"/>
      <c r="B22" s="91"/>
      <c r="C22" s="90"/>
      <c r="D22" s="91"/>
      <c r="E22" s="90"/>
      <c r="F22" s="91"/>
      <c r="G22" s="104"/>
      <c r="H22" s="91"/>
      <c r="I22" s="91"/>
      <c r="J22" s="103"/>
      <c r="K22" s="103"/>
      <c r="L22" s="104"/>
      <c r="M22" s="90"/>
    </row>
  </sheetData>
  <mergeCells count="4">
    <mergeCell ref="A1:L1"/>
    <mergeCell ref="A2:L2"/>
    <mergeCell ref="A3:L3"/>
    <mergeCell ref="A4:L4"/>
  </mergeCells>
  <printOptions horizontalCentered="1"/>
  <pageMargins left="0.25" right="0.25" top="0.25" bottom="0.3" header="0.3" footer="0"/>
  <pageSetup orientation="landscape" r:id="rId1"/>
  <headerFooter scaleWithDoc="0">
    <firstFooter>&amp;R
&amp;P&amp;N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C10" zoomScale="200" zoomScaleNormal="200" workbookViewId="0">
      <selection activeCell="E21" sqref="E21"/>
    </sheetView>
  </sheetViews>
  <sheetFormatPr defaultRowHeight="15" x14ac:dyDescent="0.25"/>
  <cols>
    <col min="1" max="1" width="30.140625" style="1" bestFit="1" customWidth="1"/>
    <col min="2" max="2" width="2.7109375" style="1" customWidth="1"/>
    <col min="3" max="5" width="15" customWidth="1"/>
    <col min="6" max="6" width="3.42578125" customWidth="1"/>
    <col min="7" max="7" width="25.85546875" bestFit="1" customWidth="1"/>
  </cols>
  <sheetData>
    <row r="1" spans="1:7" x14ac:dyDescent="0.25">
      <c r="A1" s="257" t="s">
        <v>199</v>
      </c>
      <c r="B1" s="257"/>
      <c r="C1" s="257"/>
      <c r="D1" s="257"/>
      <c r="E1" s="257"/>
      <c r="F1" s="257"/>
      <c r="G1" s="257"/>
    </row>
    <row r="2" spans="1:7" x14ac:dyDescent="0.25">
      <c r="A2" s="257" t="s">
        <v>231</v>
      </c>
      <c r="B2" s="257"/>
      <c r="C2" s="257"/>
      <c r="D2" s="257"/>
      <c r="E2" s="257"/>
      <c r="F2" s="257"/>
      <c r="G2" s="257"/>
    </row>
    <row r="3" spans="1:7" x14ac:dyDescent="0.25">
      <c r="A3" s="257" t="s">
        <v>223</v>
      </c>
      <c r="B3" s="257"/>
      <c r="C3" s="257"/>
      <c r="D3" s="257"/>
      <c r="E3" s="257"/>
      <c r="F3" s="257"/>
      <c r="G3" s="257"/>
    </row>
    <row r="7" spans="1:7" x14ac:dyDescent="0.25">
      <c r="C7" s="2"/>
    </row>
    <row r="8" spans="1:7" x14ac:dyDescent="0.25">
      <c r="A8" s="197" t="s">
        <v>209</v>
      </c>
      <c r="B8" s="197"/>
      <c r="C8" s="205" t="s">
        <v>23</v>
      </c>
      <c r="D8" s="2" t="s">
        <v>224</v>
      </c>
      <c r="E8" s="2" t="s">
        <v>225</v>
      </c>
      <c r="F8" s="2"/>
      <c r="G8" s="206" t="s">
        <v>226</v>
      </c>
    </row>
    <row r="9" spans="1:7" ht="18" customHeight="1" x14ac:dyDescent="0.25">
      <c r="A9" s="183" t="s">
        <v>227</v>
      </c>
      <c r="B9" s="183"/>
      <c r="C9" s="198">
        <f>+[1]Referendums!G18</f>
        <v>243056.25</v>
      </c>
      <c r="D9" s="207">
        <f>C9/+C$18</f>
        <v>0.28650088626749515</v>
      </c>
      <c r="E9" s="208">
        <f>80000*D9</f>
        <v>22920.070901399613</v>
      </c>
      <c r="F9" s="208"/>
      <c r="G9" s="178">
        <v>23000</v>
      </c>
    </row>
    <row r="10" spans="1:7" ht="18" customHeight="1" x14ac:dyDescent="0.25">
      <c r="A10" s="183" t="s">
        <v>211</v>
      </c>
      <c r="B10" s="183"/>
      <c r="C10" s="195">
        <f>+[1]Referendums!G29</f>
        <v>262741</v>
      </c>
      <c r="D10" s="207">
        <f t="shared" ref="D10:D17" si="0">C10/+C$18</f>
        <v>0.30970415020723779</v>
      </c>
      <c r="E10" s="209">
        <f t="shared" ref="E10:E17" si="1">80000*D10</f>
        <v>24776.332016579025</v>
      </c>
      <c r="F10" s="209"/>
      <c r="G10" s="178">
        <v>24800</v>
      </c>
    </row>
    <row r="11" spans="1:7" ht="18" customHeight="1" x14ac:dyDescent="0.25">
      <c r="A11" s="189" t="s">
        <v>212</v>
      </c>
      <c r="B11" s="189"/>
      <c r="C11" s="195">
        <f>+[1]Referendums!G40</f>
        <v>63375</v>
      </c>
      <c r="D11" s="207">
        <f t="shared" si="0"/>
        <v>7.4702846222643948E-2</v>
      </c>
      <c r="E11" s="209">
        <f t="shared" si="1"/>
        <v>5976.227697811516</v>
      </c>
      <c r="F11" s="209"/>
      <c r="G11" s="178">
        <v>6000</v>
      </c>
    </row>
    <row r="12" spans="1:7" s="192" customFormat="1" ht="18" customHeight="1" x14ac:dyDescent="0.25">
      <c r="A12" s="183" t="s">
        <v>213</v>
      </c>
      <c r="B12" s="183"/>
      <c r="C12" s="199">
        <f>+[1]Referendums!G52</f>
        <v>46588</v>
      </c>
      <c r="D12" s="207">
        <f t="shared" si="0"/>
        <v>5.4915285204268818E-2</v>
      </c>
      <c r="E12" s="209">
        <f t="shared" si="1"/>
        <v>4393.2228163415057</v>
      </c>
      <c r="F12" s="209"/>
      <c r="G12" s="210">
        <v>4400</v>
      </c>
    </row>
    <row r="13" spans="1:7" ht="18" customHeight="1" x14ac:dyDescent="0.25">
      <c r="A13" s="201" t="s">
        <v>214</v>
      </c>
      <c r="B13" s="201"/>
      <c r="C13" s="195">
        <f>+[1]Referendums!G64</f>
        <v>38025</v>
      </c>
      <c r="D13" s="207">
        <f t="shared" si="0"/>
        <v>4.4821707733586368E-2</v>
      </c>
      <c r="E13" s="209">
        <f t="shared" si="1"/>
        <v>3585.7366186869094</v>
      </c>
      <c r="F13" s="209"/>
      <c r="G13" s="210">
        <v>3600</v>
      </c>
    </row>
    <row r="14" spans="1:7" ht="18" customHeight="1" x14ac:dyDescent="0.25">
      <c r="A14" s="201" t="s">
        <v>215</v>
      </c>
      <c r="B14" s="201"/>
      <c r="C14" s="195">
        <f>+[1]Referendums!G75</f>
        <v>50700</v>
      </c>
      <c r="D14" s="207">
        <f t="shared" si="0"/>
        <v>5.9762276978115161E-2</v>
      </c>
      <c r="E14" s="209">
        <f t="shared" si="1"/>
        <v>4780.9821582492132</v>
      </c>
      <c r="F14" s="209"/>
      <c r="G14" s="210">
        <v>4800</v>
      </c>
    </row>
    <row r="15" spans="1:7" ht="18" customHeight="1" x14ac:dyDescent="0.25">
      <c r="A15" s="201" t="s">
        <v>216</v>
      </c>
      <c r="B15" s="201"/>
      <c r="C15" s="195">
        <f>+[1]Referendums!G86</f>
        <v>25350</v>
      </c>
      <c r="D15" s="207">
        <f t="shared" si="0"/>
        <v>2.9881138489057581E-2</v>
      </c>
      <c r="E15" s="209">
        <f t="shared" si="1"/>
        <v>2390.4910791246066</v>
      </c>
      <c r="F15" s="209"/>
      <c r="G15" s="210">
        <v>2400</v>
      </c>
    </row>
    <row r="16" spans="1:7" ht="18" customHeight="1" x14ac:dyDescent="0.25">
      <c r="A16" s="183" t="s">
        <v>217</v>
      </c>
      <c r="B16" s="183"/>
      <c r="C16" s="195">
        <f>+[1]Referendums!G97</f>
        <v>76050</v>
      </c>
      <c r="D16" s="207">
        <f t="shared" si="0"/>
        <v>8.9643415467172735E-2</v>
      </c>
      <c r="E16" s="209">
        <f t="shared" si="1"/>
        <v>7171.4732373738188</v>
      </c>
      <c r="F16" s="209"/>
      <c r="G16" s="210">
        <v>7000</v>
      </c>
    </row>
    <row r="17" spans="1:7" ht="18" customHeight="1" x14ac:dyDescent="0.25">
      <c r="A17" s="201" t="s">
        <v>218</v>
      </c>
      <c r="B17" s="201"/>
      <c r="C17" s="195">
        <f>+[1]Referendums!G109</f>
        <v>42476</v>
      </c>
      <c r="D17" s="207">
        <f t="shared" si="0"/>
        <v>5.0068293430422475E-2</v>
      </c>
      <c r="E17" s="209">
        <f t="shared" si="1"/>
        <v>4005.4634744337982</v>
      </c>
      <c r="F17" s="209"/>
      <c r="G17" s="210">
        <v>4000</v>
      </c>
    </row>
    <row r="18" spans="1:7" ht="18" customHeight="1" x14ac:dyDescent="0.25">
      <c r="A18" s="202" t="s">
        <v>219</v>
      </c>
      <c r="B18" s="202"/>
      <c r="C18" s="203">
        <f>SUM(C9:C17)</f>
        <v>848361.25</v>
      </c>
      <c r="D18" s="209"/>
      <c r="E18" s="211">
        <f>SUM(E9:E17)</f>
        <v>80000.000000000015</v>
      </c>
      <c r="G18" s="212">
        <f>SUM(G9:G17)</f>
        <v>80000</v>
      </c>
    </row>
    <row r="19" spans="1:7" x14ac:dyDescent="0.25">
      <c r="A19" s="3"/>
      <c r="B19" s="3"/>
      <c r="C19" s="195"/>
    </row>
    <row r="20" spans="1:7" x14ac:dyDescent="0.25">
      <c r="C20" s="195"/>
      <c r="E20" s="101"/>
    </row>
    <row r="21" spans="1:7" x14ac:dyDescent="0.25">
      <c r="C21" s="195"/>
      <c r="E21" s="101"/>
    </row>
    <row r="22" spans="1:7" x14ac:dyDescent="0.25">
      <c r="C22" s="195"/>
      <c r="E22" s="101"/>
    </row>
    <row r="23" spans="1:7" x14ac:dyDescent="0.25">
      <c r="C23" s="195"/>
      <c r="E23" s="101"/>
    </row>
    <row r="24" spans="1:7" x14ac:dyDescent="0.25">
      <c r="C24" s="195"/>
      <c r="E24" s="101"/>
    </row>
    <row r="25" spans="1:7" x14ac:dyDescent="0.25">
      <c r="C25" s="195"/>
      <c r="E25" s="101"/>
    </row>
    <row r="26" spans="1:7" x14ac:dyDescent="0.25">
      <c r="C26" s="195"/>
      <c r="E26" s="101"/>
    </row>
    <row r="27" spans="1:7" x14ac:dyDescent="0.25">
      <c r="C27" s="195"/>
      <c r="E27" s="101"/>
    </row>
    <row r="28" spans="1:7" x14ac:dyDescent="0.25">
      <c r="C28" s="195"/>
      <c r="E28" s="101"/>
    </row>
    <row r="29" spans="1:7" x14ac:dyDescent="0.25">
      <c r="E29" s="47"/>
    </row>
  </sheetData>
  <mergeCells count="3">
    <mergeCell ref="A1:G1"/>
    <mergeCell ref="A2:G2"/>
    <mergeCell ref="A3:G3"/>
  </mergeCells>
  <printOptions horizontalCentered="1"/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Normal="100" workbookViewId="0">
      <selection activeCell="C15" sqref="C15"/>
    </sheetView>
  </sheetViews>
  <sheetFormatPr defaultRowHeight="15" x14ac:dyDescent="0.25"/>
  <cols>
    <col min="1" max="1" width="30.140625" style="1" bestFit="1" customWidth="1"/>
    <col min="2" max="2" width="2.7109375" style="1" customWidth="1"/>
    <col min="3" max="3" width="8.42578125" bestFit="1" customWidth="1"/>
    <col min="4" max="4" width="2.7109375" style="1" customWidth="1"/>
    <col min="6" max="6" width="2.7109375" style="1" customWidth="1"/>
    <col min="8" max="8" width="0" style="179" hidden="1" customWidth="1"/>
  </cols>
  <sheetData>
    <row r="1" spans="1:8" x14ac:dyDescent="0.25">
      <c r="A1" s="257" t="s">
        <v>199</v>
      </c>
      <c r="B1" s="257"/>
      <c r="C1" s="257"/>
      <c r="D1" s="257"/>
      <c r="E1" s="257"/>
      <c r="F1" s="257"/>
      <c r="G1" s="257"/>
    </row>
    <row r="2" spans="1:8" x14ac:dyDescent="0.25">
      <c r="A2" s="257" t="s">
        <v>231</v>
      </c>
      <c r="B2" s="257"/>
      <c r="C2" s="257"/>
      <c r="D2" s="257"/>
      <c r="E2" s="257"/>
      <c r="F2" s="257"/>
      <c r="G2" s="257"/>
    </row>
    <row r="3" spans="1:8" x14ac:dyDescent="0.25">
      <c r="A3" s="257" t="s">
        <v>208</v>
      </c>
      <c r="B3" s="257"/>
      <c r="C3" s="257"/>
      <c r="D3" s="257"/>
      <c r="E3" s="257"/>
      <c r="F3" s="257"/>
      <c r="G3" s="257"/>
    </row>
    <row r="7" spans="1:8" x14ac:dyDescent="0.25">
      <c r="C7" s="258" t="s">
        <v>201</v>
      </c>
      <c r="D7" s="258"/>
      <c r="E7" s="258"/>
      <c r="F7" s="258"/>
      <c r="G7" s="258"/>
    </row>
    <row r="8" spans="1:8" x14ac:dyDescent="0.25">
      <c r="C8" s="180" t="s">
        <v>0</v>
      </c>
      <c r="D8" s="180"/>
      <c r="E8" s="180" t="s">
        <v>205</v>
      </c>
      <c r="F8" s="180"/>
      <c r="G8" s="180" t="s">
        <v>206</v>
      </c>
    </row>
    <row r="9" spans="1:8" x14ac:dyDescent="0.25">
      <c r="C9" s="2"/>
      <c r="D9" s="67"/>
      <c r="E9" s="2"/>
      <c r="F9" s="67"/>
      <c r="G9" s="2"/>
    </row>
    <row r="10" spans="1:8" x14ac:dyDescent="0.25">
      <c r="A10" s="197" t="s">
        <v>209</v>
      </c>
      <c r="B10" s="197"/>
      <c r="C10" s="195"/>
      <c r="D10" s="196"/>
      <c r="E10" s="195"/>
      <c r="F10" s="196"/>
      <c r="G10" s="195"/>
    </row>
    <row r="11" spans="1:8" ht="18" customHeight="1" x14ac:dyDescent="0.25">
      <c r="A11" s="183" t="s">
        <v>210</v>
      </c>
      <c r="B11" s="183"/>
      <c r="C11" s="198">
        <v>15</v>
      </c>
      <c r="D11" s="196"/>
      <c r="E11" s="198">
        <v>21.15</v>
      </c>
      <c r="F11" s="196"/>
      <c r="G11" s="198">
        <v>11.15</v>
      </c>
      <c r="H11" s="179">
        <f>E11/E20</f>
        <v>0.2931392931392931</v>
      </c>
    </row>
    <row r="12" spans="1:8" ht="18" customHeight="1" x14ac:dyDescent="0.25">
      <c r="A12" s="183" t="s">
        <v>211</v>
      </c>
      <c r="B12" s="183"/>
      <c r="C12" s="195"/>
      <c r="D12" s="196"/>
      <c r="E12" s="195">
        <v>23</v>
      </c>
      <c r="F12" s="196"/>
      <c r="G12" s="195">
        <v>16</v>
      </c>
      <c r="H12" s="179">
        <f>E12/E20</f>
        <v>0.31878031878031876</v>
      </c>
    </row>
    <row r="13" spans="1:8" ht="18" customHeight="1" x14ac:dyDescent="0.25">
      <c r="A13" s="189" t="s">
        <v>212</v>
      </c>
      <c r="B13" s="189"/>
      <c r="C13" s="195"/>
      <c r="D13" s="196"/>
      <c r="E13" s="195">
        <v>5</v>
      </c>
      <c r="F13" s="196"/>
      <c r="G13" s="195">
        <v>5</v>
      </c>
      <c r="H13" s="179">
        <f>E13/E20</f>
        <v>6.9300069300069295E-2</v>
      </c>
    </row>
    <row r="14" spans="1:8" s="192" customFormat="1" ht="18" customHeight="1" x14ac:dyDescent="0.25">
      <c r="A14" s="183" t="s">
        <v>213</v>
      </c>
      <c r="B14" s="183"/>
      <c r="C14" s="199"/>
      <c r="D14" s="200"/>
      <c r="E14" s="199">
        <v>4</v>
      </c>
      <c r="F14" s="200"/>
      <c r="G14" s="199">
        <v>3</v>
      </c>
      <c r="H14" s="191">
        <f>E14/E20</f>
        <v>5.5440055440055439E-2</v>
      </c>
    </row>
    <row r="15" spans="1:8" ht="18" customHeight="1" x14ac:dyDescent="0.25">
      <c r="A15" s="201" t="s">
        <v>214</v>
      </c>
      <c r="B15" s="201"/>
      <c r="C15" s="195"/>
      <c r="D15" s="196"/>
      <c r="E15" s="195">
        <v>3</v>
      </c>
      <c r="F15" s="196"/>
      <c r="G15" s="195">
        <v>3</v>
      </c>
      <c r="H15" s="179">
        <f>E15/E20</f>
        <v>4.1580041580041575E-2</v>
      </c>
    </row>
    <row r="16" spans="1:8" ht="18" customHeight="1" x14ac:dyDescent="0.25">
      <c r="A16" s="201" t="s">
        <v>215</v>
      </c>
      <c r="B16" s="201"/>
      <c r="C16" s="195"/>
      <c r="D16" s="196"/>
      <c r="E16" s="195">
        <v>4</v>
      </c>
      <c r="F16" s="196"/>
      <c r="G16" s="195">
        <v>4</v>
      </c>
      <c r="H16" s="179">
        <f>E16/E20</f>
        <v>5.5440055440055439E-2</v>
      </c>
    </row>
    <row r="17" spans="1:8" ht="18" customHeight="1" x14ac:dyDescent="0.25">
      <c r="A17" s="201" t="s">
        <v>216</v>
      </c>
      <c r="B17" s="201"/>
      <c r="C17" s="195"/>
      <c r="D17" s="196"/>
      <c r="E17" s="195">
        <v>2</v>
      </c>
      <c r="F17" s="196"/>
      <c r="G17" s="195">
        <v>2</v>
      </c>
      <c r="H17" s="179">
        <f>E17/E20</f>
        <v>2.7720027720027719E-2</v>
      </c>
    </row>
    <row r="18" spans="1:8" ht="18" customHeight="1" x14ac:dyDescent="0.25">
      <c r="A18" s="183" t="s">
        <v>217</v>
      </c>
      <c r="B18" s="183"/>
      <c r="C18" s="195"/>
      <c r="D18" s="196"/>
      <c r="E18" s="195">
        <v>6</v>
      </c>
      <c r="F18" s="196"/>
      <c r="G18" s="195">
        <v>6</v>
      </c>
      <c r="H18" s="179">
        <f>E18/E20</f>
        <v>8.3160083160083151E-2</v>
      </c>
    </row>
    <row r="19" spans="1:8" ht="18" customHeight="1" x14ac:dyDescent="0.25">
      <c r="A19" s="201" t="s">
        <v>218</v>
      </c>
      <c r="B19" s="201"/>
      <c r="C19" s="195"/>
      <c r="D19" s="196"/>
      <c r="E19" s="195">
        <v>4</v>
      </c>
      <c r="F19" s="196"/>
      <c r="G19" s="195">
        <v>2</v>
      </c>
      <c r="H19" s="179">
        <f>E19/E20</f>
        <v>5.5440055440055439E-2</v>
      </c>
    </row>
    <row r="20" spans="1:8" ht="18" customHeight="1" x14ac:dyDescent="0.25">
      <c r="A20" s="202" t="s">
        <v>219</v>
      </c>
      <c r="B20" s="202"/>
      <c r="C20" s="203">
        <f>SUM(C11:C19)</f>
        <v>15</v>
      </c>
      <c r="D20" s="196"/>
      <c r="E20" s="203">
        <f>SUM(E11:E19)</f>
        <v>72.150000000000006</v>
      </c>
      <c r="F20" s="196"/>
      <c r="G20" s="203">
        <f>SUM(G11:G19)</f>
        <v>52.15</v>
      </c>
      <c r="H20" s="179">
        <f>SUM(H11:H19)</f>
        <v>1</v>
      </c>
    </row>
    <row r="21" spans="1:8" ht="18" customHeight="1" x14ac:dyDescent="0.25">
      <c r="A21" s="202" t="s">
        <v>220</v>
      </c>
      <c r="B21" s="202"/>
      <c r="C21" s="195">
        <v>1.45</v>
      </c>
      <c r="D21" s="196"/>
      <c r="E21" s="195">
        <v>1.45</v>
      </c>
      <c r="F21" s="196"/>
      <c r="G21" s="195">
        <v>1.45</v>
      </c>
    </row>
    <row r="22" spans="1:8" ht="18" customHeight="1" x14ac:dyDescent="0.25">
      <c r="A22" s="3" t="s">
        <v>221</v>
      </c>
      <c r="B22" s="3"/>
      <c r="C22" s="204">
        <f>SUM(C20:C21)</f>
        <v>16.45</v>
      </c>
      <c r="D22" s="196"/>
      <c r="E22" s="204">
        <f>SUM(E20:E21)</f>
        <v>73.600000000000009</v>
      </c>
      <c r="F22" s="196"/>
      <c r="G22" s="204">
        <f>SUM(G20:G21)</f>
        <v>53.6</v>
      </c>
    </row>
    <row r="23" spans="1:8" x14ac:dyDescent="0.25">
      <c r="A23" s="3"/>
      <c r="B23" s="3"/>
      <c r="C23" s="195"/>
      <c r="D23" s="196"/>
      <c r="E23" s="195"/>
      <c r="F23" s="196"/>
      <c r="G23" s="195"/>
    </row>
    <row r="24" spans="1:8" x14ac:dyDescent="0.25">
      <c r="C24" s="195"/>
      <c r="D24" s="196"/>
      <c r="E24" s="195"/>
      <c r="F24" s="196"/>
      <c r="G24" s="195"/>
    </row>
    <row r="25" spans="1:8" x14ac:dyDescent="0.25">
      <c r="A25" s="1" t="s">
        <v>222</v>
      </c>
      <c r="C25" s="195"/>
      <c r="D25" s="196"/>
      <c r="E25" s="195"/>
      <c r="F25" s="196"/>
      <c r="G25" s="195"/>
    </row>
    <row r="26" spans="1:8" x14ac:dyDescent="0.25">
      <c r="C26" s="195"/>
      <c r="D26" s="196"/>
      <c r="E26" s="195"/>
      <c r="F26" s="196"/>
      <c r="G26" s="195"/>
    </row>
    <row r="27" spans="1:8" x14ac:dyDescent="0.25">
      <c r="C27" s="195"/>
      <c r="D27" s="196"/>
      <c r="E27" s="195"/>
      <c r="F27" s="196"/>
      <c r="G27" s="195"/>
    </row>
    <row r="28" spans="1:8" x14ac:dyDescent="0.25">
      <c r="C28" s="195"/>
      <c r="D28" s="196"/>
      <c r="E28" s="195"/>
      <c r="F28" s="196"/>
      <c r="G28" s="195"/>
    </row>
    <row r="29" spans="1:8" x14ac:dyDescent="0.25">
      <c r="C29" s="195"/>
      <c r="D29" s="196"/>
      <c r="E29" s="195"/>
      <c r="F29" s="196"/>
      <c r="G29" s="195"/>
    </row>
    <row r="30" spans="1:8" x14ac:dyDescent="0.25">
      <c r="C30" s="195"/>
      <c r="D30" s="196"/>
      <c r="E30" s="195"/>
      <c r="F30" s="196"/>
      <c r="G30" s="195"/>
    </row>
    <row r="31" spans="1:8" x14ac:dyDescent="0.25">
      <c r="C31" s="195"/>
      <c r="D31" s="196"/>
      <c r="E31" s="195"/>
      <c r="F31" s="196"/>
      <c r="G31" s="195"/>
    </row>
    <row r="32" spans="1:8" x14ac:dyDescent="0.25">
      <c r="C32" s="195"/>
      <c r="D32" s="196"/>
      <c r="E32" s="195"/>
      <c r="F32" s="196"/>
      <c r="G32" s="195"/>
    </row>
  </sheetData>
  <mergeCells count="4">
    <mergeCell ref="A1:G1"/>
    <mergeCell ref="A2:G2"/>
    <mergeCell ref="A3:G3"/>
    <mergeCell ref="C7:G7"/>
  </mergeCells>
  <printOptions horizontalCentered="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98" zoomScale="200" zoomScaleNormal="200" workbookViewId="0">
      <selection activeCell="C108" sqref="C108"/>
    </sheetView>
  </sheetViews>
  <sheetFormatPr defaultRowHeight="15" x14ac:dyDescent="0.25"/>
  <cols>
    <col min="3" max="3" width="28.5703125" bestFit="1" customWidth="1"/>
    <col min="4" max="4" width="2.140625" bestFit="1" customWidth="1"/>
    <col min="5" max="5" width="6.28515625" style="46" bestFit="1" customWidth="1"/>
    <col min="6" max="6" width="2" bestFit="1" customWidth="1"/>
    <col min="7" max="7" width="11.5703125" style="178" bestFit="1" customWidth="1"/>
  </cols>
  <sheetData>
    <row r="1" spans="1:7" ht="15.75" x14ac:dyDescent="0.25">
      <c r="A1" s="165" t="s">
        <v>161</v>
      </c>
      <c r="B1" s="165"/>
      <c r="C1" s="165"/>
      <c r="D1" s="166"/>
      <c r="E1" s="168"/>
      <c r="F1" s="165"/>
      <c r="G1" s="169"/>
    </row>
    <row r="2" spans="1:7" x14ac:dyDescent="0.25">
      <c r="A2" s="117" t="s">
        <v>162</v>
      </c>
      <c r="B2" s="117"/>
      <c r="C2" s="117"/>
      <c r="D2" s="167"/>
      <c r="E2" s="118"/>
      <c r="F2" s="117"/>
      <c r="G2" s="170"/>
    </row>
    <row r="3" spans="1:7" x14ac:dyDescent="0.25">
      <c r="A3" s="117" t="s">
        <v>234</v>
      </c>
      <c r="B3" s="117"/>
      <c r="C3" s="117"/>
      <c r="D3" s="167"/>
      <c r="E3" s="118"/>
      <c r="F3" s="117"/>
      <c r="G3" s="170"/>
    </row>
    <row r="4" spans="1:7" x14ac:dyDescent="0.25">
      <c r="D4" s="2"/>
      <c r="G4" s="171"/>
    </row>
    <row r="5" spans="1:7" x14ac:dyDescent="0.25">
      <c r="A5" s="117" t="s">
        <v>233</v>
      </c>
      <c r="D5" s="2"/>
      <c r="G5" s="171"/>
    </row>
    <row r="6" spans="1:7" x14ac:dyDescent="0.25">
      <c r="D6" s="2"/>
      <c r="G6" s="171"/>
    </row>
    <row r="7" spans="1:7" x14ac:dyDescent="0.25">
      <c r="A7" s="117" t="s">
        <v>163</v>
      </c>
      <c r="B7" s="117"/>
      <c r="C7" s="117"/>
      <c r="D7" s="167"/>
      <c r="E7" s="118"/>
      <c r="F7" s="117"/>
      <c r="G7" s="170"/>
    </row>
    <row r="8" spans="1:7" x14ac:dyDescent="0.25">
      <c r="B8" t="s">
        <v>164</v>
      </c>
      <c r="D8" s="2"/>
      <c r="G8" s="171"/>
    </row>
    <row r="9" spans="1:7" x14ac:dyDescent="0.25">
      <c r="B9" s="118"/>
      <c r="C9" s="45" t="s">
        <v>232</v>
      </c>
      <c r="D9" s="2" t="s">
        <v>165</v>
      </c>
      <c r="E9" s="213">
        <f>+Enrollment!I10</f>
        <v>2021.3</v>
      </c>
      <c r="F9" t="s">
        <v>166</v>
      </c>
      <c r="G9" s="172">
        <f>+E9*15</f>
        <v>30319.5</v>
      </c>
    </row>
    <row r="10" spans="1:7" x14ac:dyDescent="0.25">
      <c r="B10" t="s">
        <v>167</v>
      </c>
      <c r="D10" s="2"/>
      <c r="G10" s="171"/>
    </row>
    <row r="11" spans="1:7" x14ac:dyDescent="0.25">
      <c r="B11" s="46"/>
      <c r="C11" t="s">
        <v>168</v>
      </c>
      <c r="D11" s="2" t="s">
        <v>165</v>
      </c>
      <c r="E11" s="173">
        <f>+Enrollment!I13</f>
        <v>5192.8</v>
      </c>
      <c r="F11" t="s">
        <v>166</v>
      </c>
      <c r="G11" s="171">
        <f>E11*21.15</f>
        <v>109827.72</v>
      </c>
    </row>
    <row r="12" spans="1:7" x14ac:dyDescent="0.25">
      <c r="B12" s="46"/>
      <c r="C12" t="s">
        <v>169</v>
      </c>
      <c r="D12" s="2" t="s">
        <v>165</v>
      </c>
      <c r="E12" s="173">
        <f>+Enrollment!I14</f>
        <v>1932.9</v>
      </c>
      <c r="F12" t="s">
        <v>166</v>
      </c>
      <c r="G12" s="172">
        <f>E12*11.15</f>
        <v>21551.835000000003</v>
      </c>
    </row>
    <row r="13" spans="1:7" x14ac:dyDescent="0.25">
      <c r="C13" s="46" t="s">
        <v>170</v>
      </c>
      <c r="D13" s="2"/>
      <c r="G13" s="174">
        <f>SUM(G11:G12)</f>
        <v>131379.55499999999</v>
      </c>
    </row>
    <row r="14" spans="1:7" x14ac:dyDescent="0.25">
      <c r="B14" t="s">
        <v>171</v>
      </c>
      <c r="D14" s="2"/>
      <c r="G14" s="171"/>
    </row>
    <row r="15" spans="1:7" x14ac:dyDescent="0.25">
      <c r="B15" s="118"/>
      <c r="C15" t="s">
        <v>168</v>
      </c>
      <c r="D15" s="2" t="s">
        <v>165</v>
      </c>
      <c r="E15" s="213">
        <f>+Enrollment!G18</f>
        <v>4105.8</v>
      </c>
      <c r="F15" t="s">
        <v>166</v>
      </c>
      <c r="G15" s="171">
        <f>E15*21.15</f>
        <v>86837.67</v>
      </c>
    </row>
    <row r="16" spans="1:7" x14ac:dyDescent="0.25">
      <c r="B16" s="118"/>
      <c r="C16" t="s">
        <v>169</v>
      </c>
      <c r="D16" s="2" t="s">
        <v>165</v>
      </c>
      <c r="E16" s="213">
        <f>+Enrollment!G19</f>
        <v>1904.4</v>
      </c>
      <c r="F16" t="s">
        <v>166</v>
      </c>
      <c r="G16" s="172">
        <f>E16*11.15</f>
        <v>21234.06</v>
      </c>
    </row>
    <row r="17" spans="1:7" x14ac:dyDescent="0.25">
      <c r="A17" s="117"/>
      <c r="D17" s="2"/>
      <c r="G17" s="171">
        <f>SUM(G15:G16)</f>
        <v>108071.73</v>
      </c>
    </row>
    <row r="18" spans="1:7" x14ac:dyDescent="0.25">
      <c r="B18" s="117" t="s">
        <v>172</v>
      </c>
      <c r="D18" s="117"/>
      <c r="E18" s="118"/>
      <c r="F18" s="117"/>
      <c r="G18" s="175">
        <f>G9+G13+G17</f>
        <v>269770.78499999997</v>
      </c>
    </row>
    <row r="19" spans="1:7" x14ac:dyDescent="0.25">
      <c r="B19" s="117"/>
      <c r="D19" s="117"/>
      <c r="E19" s="118"/>
      <c r="F19" s="117"/>
      <c r="G19" s="170"/>
    </row>
    <row r="20" spans="1:7" x14ac:dyDescent="0.25">
      <c r="A20" s="117" t="s">
        <v>173</v>
      </c>
      <c r="B20" s="117"/>
      <c r="C20" s="117"/>
      <c r="D20" s="167"/>
      <c r="E20" s="118"/>
      <c r="F20" s="117"/>
      <c r="G20" s="170"/>
    </row>
    <row r="21" spans="1:7" x14ac:dyDescent="0.25">
      <c r="B21" t="s">
        <v>167</v>
      </c>
      <c r="D21" s="2"/>
      <c r="G21" s="171"/>
    </row>
    <row r="22" spans="1:7" x14ac:dyDescent="0.25">
      <c r="B22" s="46"/>
      <c r="C22" t="s">
        <v>174</v>
      </c>
      <c r="D22" s="2" t="s">
        <v>165</v>
      </c>
      <c r="E22" s="173">
        <f>+E11</f>
        <v>5192.8</v>
      </c>
      <c r="F22" t="s">
        <v>166</v>
      </c>
      <c r="G22" s="171">
        <f>E22*23</f>
        <v>119434.40000000001</v>
      </c>
    </row>
    <row r="23" spans="1:7" x14ac:dyDescent="0.25">
      <c r="B23" s="46"/>
      <c r="C23" t="s">
        <v>175</v>
      </c>
      <c r="D23" s="2" t="s">
        <v>165</v>
      </c>
      <c r="E23" s="173">
        <f>+E12</f>
        <v>1932.9</v>
      </c>
      <c r="F23" t="s">
        <v>166</v>
      </c>
      <c r="G23" s="172">
        <f>E23*16</f>
        <v>30926.400000000001</v>
      </c>
    </row>
    <row r="24" spans="1:7" x14ac:dyDescent="0.25">
      <c r="C24" s="46" t="s">
        <v>170</v>
      </c>
      <c r="D24" s="2"/>
      <c r="G24" s="174">
        <f>SUM(G22:G23)</f>
        <v>150360.80000000002</v>
      </c>
    </row>
    <row r="25" spans="1:7" x14ac:dyDescent="0.25">
      <c r="B25" t="s">
        <v>171</v>
      </c>
      <c r="D25" s="2"/>
      <c r="G25" s="171"/>
    </row>
    <row r="26" spans="1:7" x14ac:dyDescent="0.25">
      <c r="B26" s="46"/>
      <c r="C26" t="s">
        <v>174</v>
      </c>
      <c r="D26" s="2" t="s">
        <v>165</v>
      </c>
      <c r="E26" s="46">
        <v>3761.1</v>
      </c>
      <c r="F26" t="s">
        <v>166</v>
      </c>
      <c r="G26" s="171">
        <f>E26*23</f>
        <v>86505.3</v>
      </c>
    </row>
    <row r="27" spans="1:7" x14ac:dyDescent="0.25">
      <c r="B27" s="46"/>
      <c r="C27" t="s">
        <v>175</v>
      </c>
      <c r="D27" s="2" t="s">
        <v>165</v>
      </c>
      <c r="E27" s="46">
        <v>1827.9</v>
      </c>
      <c r="F27" t="s">
        <v>166</v>
      </c>
      <c r="G27" s="172">
        <f>E27*16</f>
        <v>29246.400000000001</v>
      </c>
    </row>
    <row r="28" spans="1:7" x14ac:dyDescent="0.25">
      <c r="D28" s="2"/>
      <c r="G28" s="174">
        <f>SUM(G26:G27)</f>
        <v>115751.70000000001</v>
      </c>
    </row>
    <row r="29" spans="1:7" x14ac:dyDescent="0.25">
      <c r="B29" s="176" t="s">
        <v>176</v>
      </c>
      <c r="C29" s="176"/>
      <c r="D29" s="162"/>
      <c r="E29" s="177"/>
      <c r="F29" s="176"/>
      <c r="G29" s="175">
        <f>G24+G28</f>
        <v>266112.5</v>
      </c>
    </row>
    <row r="30" spans="1:7" x14ac:dyDescent="0.25">
      <c r="D30" s="2"/>
      <c r="G30" s="171"/>
    </row>
    <row r="31" spans="1:7" x14ac:dyDescent="0.25">
      <c r="A31" s="117" t="s">
        <v>177</v>
      </c>
      <c r="D31" s="2"/>
      <c r="G31" s="171"/>
    </row>
    <row r="32" spans="1:7" x14ac:dyDescent="0.25">
      <c r="B32" t="s">
        <v>167</v>
      </c>
      <c r="D32" s="2"/>
      <c r="G32" s="171"/>
    </row>
    <row r="33" spans="1:7" x14ac:dyDescent="0.25">
      <c r="C33" t="s">
        <v>178</v>
      </c>
      <c r="D33" s="2" t="s">
        <v>165</v>
      </c>
      <c r="E33" s="173">
        <f>+E22</f>
        <v>5192.8</v>
      </c>
      <c r="F33" t="s">
        <v>166</v>
      </c>
      <c r="G33" s="171">
        <f>E33*5</f>
        <v>25964</v>
      </c>
    </row>
    <row r="34" spans="1:7" x14ac:dyDescent="0.25">
      <c r="C34" t="s">
        <v>179</v>
      </c>
      <c r="D34" s="2" t="s">
        <v>165</v>
      </c>
      <c r="E34" s="173">
        <f>+E23</f>
        <v>1932.9</v>
      </c>
      <c r="F34" t="s">
        <v>166</v>
      </c>
      <c r="G34" s="172">
        <f>E34*5</f>
        <v>9664.5</v>
      </c>
    </row>
    <row r="35" spans="1:7" x14ac:dyDescent="0.25">
      <c r="D35" s="2"/>
      <c r="G35" s="174">
        <f>SUM(G33:G34)</f>
        <v>35628.5</v>
      </c>
    </row>
    <row r="36" spans="1:7" x14ac:dyDescent="0.25">
      <c r="B36" t="s">
        <v>171</v>
      </c>
      <c r="D36" s="2"/>
      <c r="G36" s="171"/>
    </row>
    <row r="37" spans="1:7" x14ac:dyDescent="0.25">
      <c r="B37" s="46"/>
      <c r="C37" t="s">
        <v>178</v>
      </c>
      <c r="D37" s="2" t="s">
        <v>165</v>
      </c>
      <c r="E37" s="46">
        <v>3761.1</v>
      </c>
      <c r="F37" t="s">
        <v>166</v>
      </c>
      <c r="G37" s="171">
        <f>E37*5</f>
        <v>18805.5</v>
      </c>
    </row>
    <row r="38" spans="1:7" x14ac:dyDescent="0.25">
      <c r="B38" s="46"/>
      <c r="C38" t="s">
        <v>179</v>
      </c>
      <c r="D38" s="2" t="s">
        <v>165</v>
      </c>
      <c r="E38" s="46">
        <v>1827.9</v>
      </c>
      <c r="F38" t="s">
        <v>166</v>
      </c>
      <c r="G38" s="172">
        <f>E38*5</f>
        <v>9139.5</v>
      </c>
    </row>
    <row r="39" spans="1:7" x14ac:dyDescent="0.25">
      <c r="D39" s="2"/>
      <c r="G39" s="174">
        <f>SUM(G37:G38)</f>
        <v>27945</v>
      </c>
    </row>
    <row r="40" spans="1:7" x14ac:dyDescent="0.25">
      <c r="B40" s="176" t="s">
        <v>180</v>
      </c>
      <c r="C40" s="176"/>
      <c r="D40" s="162"/>
      <c r="E40" s="177"/>
      <c r="F40" s="176"/>
      <c r="G40" s="175">
        <f>G35+G39</f>
        <v>63573.5</v>
      </c>
    </row>
    <row r="41" spans="1:7" x14ac:dyDescent="0.25">
      <c r="A41" s="117"/>
      <c r="B41" s="117"/>
      <c r="C41" s="117"/>
      <c r="D41" s="117"/>
      <c r="E41" s="118"/>
      <c r="F41" s="117"/>
      <c r="G41" s="170"/>
    </row>
    <row r="42" spans="1:7" x14ac:dyDescent="0.25">
      <c r="A42" s="117"/>
      <c r="B42" s="117"/>
      <c r="C42" s="117"/>
      <c r="D42" s="117"/>
      <c r="E42" s="118"/>
      <c r="F42" s="117"/>
      <c r="G42" s="170"/>
    </row>
    <row r="43" spans="1:7" x14ac:dyDescent="0.25">
      <c r="A43" s="117" t="s">
        <v>181</v>
      </c>
      <c r="D43" s="2"/>
      <c r="G43" s="171"/>
    </row>
    <row r="44" spans="1:7" x14ac:dyDescent="0.25">
      <c r="B44" t="s">
        <v>167</v>
      </c>
      <c r="D44" s="2"/>
      <c r="G44" s="171"/>
    </row>
    <row r="45" spans="1:7" x14ac:dyDescent="0.25">
      <c r="C45" t="s">
        <v>182</v>
      </c>
      <c r="D45" s="2" t="s">
        <v>165</v>
      </c>
      <c r="E45" s="173">
        <f>+E33</f>
        <v>5192.8</v>
      </c>
      <c r="F45" t="s">
        <v>166</v>
      </c>
      <c r="G45" s="171">
        <f>E45*4</f>
        <v>20771.2</v>
      </c>
    </row>
    <row r="46" spans="1:7" x14ac:dyDescent="0.25">
      <c r="C46" t="s">
        <v>183</v>
      </c>
      <c r="D46" s="2" t="s">
        <v>165</v>
      </c>
      <c r="E46" s="173">
        <f>+E34</f>
        <v>1932.9</v>
      </c>
      <c r="F46" t="s">
        <v>166</v>
      </c>
      <c r="G46" s="172">
        <f>E46*3</f>
        <v>5798.7000000000007</v>
      </c>
    </row>
    <row r="47" spans="1:7" x14ac:dyDescent="0.25">
      <c r="D47" s="2"/>
      <c r="G47" s="174">
        <f>SUM(G45:G46)</f>
        <v>26569.9</v>
      </c>
    </row>
    <row r="48" spans="1:7" x14ac:dyDescent="0.25">
      <c r="B48" t="s">
        <v>171</v>
      </c>
      <c r="D48" s="2"/>
      <c r="G48" s="171"/>
    </row>
    <row r="49" spans="1:7" x14ac:dyDescent="0.25">
      <c r="B49" s="46"/>
      <c r="C49" t="s">
        <v>182</v>
      </c>
      <c r="D49" s="2" t="s">
        <v>165</v>
      </c>
      <c r="E49" s="46">
        <v>3761</v>
      </c>
      <c r="F49" t="s">
        <v>166</v>
      </c>
      <c r="G49" s="171">
        <f>E49*4</f>
        <v>15044</v>
      </c>
    </row>
    <row r="50" spans="1:7" x14ac:dyDescent="0.25">
      <c r="B50" s="46"/>
      <c r="C50" t="s">
        <v>183</v>
      </c>
      <c r="D50" s="2" t="s">
        <v>165</v>
      </c>
      <c r="E50" s="46">
        <v>1828</v>
      </c>
      <c r="F50" t="s">
        <v>166</v>
      </c>
      <c r="G50" s="172">
        <f>E50*3</f>
        <v>5484</v>
      </c>
    </row>
    <row r="51" spans="1:7" x14ac:dyDescent="0.25">
      <c r="D51" s="2"/>
      <c r="G51" s="172">
        <f>SUM(G49:G50)</f>
        <v>20528</v>
      </c>
    </row>
    <row r="52" spans="1:7" ht="21" customHeight="1" x14ac:dyDescent="0.25">
      <c r="B52" s="117" t="s">
        <v>184</v>
      </c>
      <c r="C52" s="176"/>
      <c r="D52" s="162"/>
      <c r="E52" s="177"/>
      <c r="F52" s="176"/>
      <c r="G52" s="175">
        <f>G47+G51</f>
        <v>47097.9</v>
      </c>
    </row>
    <row r="53" spans="1:7" x14ac:dyDescent="0.25">
      <c r="A53" s="117"/>
      <c r="B53" s="117"/>
      <c r="C53" s="117"/>
      <c r="D53" s="117"/>
      <c r="E53" s="118"/>
      <c r="F53" s="117"/>
      <c r="G53" s="170"/>
    </row>
    <row r="54" spans="1:7" x14ac:dyDescent="0.25">
      <c r="A54" s="117"/>
      <c r="B54" s="117"/>
      <c r="C54" s="117"/>
      <c r="D54" s="117"/>
      <c r="E54" s="118"/>
      <c r="F54" s="117"/>
      <c r="G54" s="170"/>
    </row>
    <row r="55" spans="1:7" x14ac:dyDescent="0.25">
      <c r="A55" s="117" t="s">
        <v>185</v>
      </c>
      <c r="D55" s="2"/>
      <c r="G55" s="171"/>
    </row>
    <row r="56" spans="1:7" x14ac:dyDescent="0.25">
      <c r="B56" t="s">
        <v>167</v>
      </c>
      <c r="D56" s="2"/>
      <c r="G56" s="171"/>
    </row>
    <row r="57" spans="1:7" x14ac:dyDescent="0.25">
      <c r="C57" t="s">
        <v>186</v>
      </c>
      <c r="D57" s="2" t="s">
        <v>165</v>
      </c>
      <c r="E57" s="173">
        <f>+E45</f>
        <v>5192.8</v>
      </c>
      <c r="F57" t="s">
        <v>166</v>
      </c>
      <c r="G57" s="171">
        <f>E57*3</f>
        <v>15578.400000000001</v>
      </c>
    </row>
    <row r="58" spans="1:7" x14ac:dyDescent="0.25">
      <c r="C58" t="s">
        <v>183</v>
      </c>
      <c r="D58" s="2" t="s">
        <v>165</v>
      </c>
      <c r="E58" s="173">
        <f>+E46</f>
        <v>1932.9</v>
      </c>
      <c r="F58" t="s">
        <v>166</v>
      </c>
      <c r="G58" s="172">
        <f>E58*3</f>
        <v>5798.7000000000007</v>
      </c>
    </row>
    <row r="59" spans="1:7" x14ac:dyDescent="0.25">
      <c r="D59" s="2"/>
      <c r="G59" s="174">
        <f>SUM(G57:G58)</f>
        <v>21377.100000000002</v>
      </c>
    </row>
    <row r="60" spans="1:7" x14ac:dyDescent="0.25">
      <c r="B60" t="s">
        <v>171</v>
      </c>
      <c r="D60" s="2"/>
      <c r="G60" s="171"/>
    </row>
    <row r="61" spans="1:7" x14ac:dyDescent="0.25">
      <c r="B61" s="46"/>
      <c r="C61" t="s">
        <v>186</v>
      </c>
      <c r="D61" s="2" t="s">
        <v>165</v>
      </c>
      <c r="E61" s="46">
        <v>3761</v>
      </c>
      <c r="F61" t="s">
        <v>166</v>
      </c>
      <c r="G61" s="171">
        <f>E61*3</f>
        <v>11283</v>
      </c>
    </row>
    <row r="62" spans="1:7" x14ac:dyDescent="0.25">
      <c r="B62" s="46"/>
      <c r="C62" t="s">
        <v>183</v>
      </c>
      <c r="D62" s="2" t="s">
        <v>165</v>
      </c>
      <c r="E62" s="46">
        <v>1828</v>
      </c>
      <c r="F62" t="s">
        <v>166</v>
      </c>
      <c r="G62" s="172">
        <f>E62*3</f>
        <v>5484</v>
      </c>
    </row>
    <row r="63" spans="1:7" x14ac:dyDescent="0.25">
      <c r="D63" s="2"/>
      <c r="G63" s="172">
        <f>SUM(G61:G62)</f>
        <v>16767</v>
      </c>
    </row>
    <row r="64" spans="1:7" ht="21" customHeight="1" x14ac:dyDescent="0.25">
      <c r="B64" s="117" t="s">
        <v>187</v>
      </c>
      <c r="C64" s="176"/>
      <c r="D64" s="162"/>
      <c r="E64" s="177"/>
      <c r="F64" s="176"/>
      <c r="G64" s="175">
        <f>G59+G63</f>
        <v>38144.100000000006</v>
      </c>
    </row>
    <row r="65" spans="1:7" x14ac:dyDescent="0.25">
      <c r="A65" s="117"/>
      <c r="B65" s="117"/>
      <c r="C65" s="117"/>
      <c r="D65" s="117"/>
      <c r="E65" s="118"/>
      <c r="F65" s="117"/>
      <c r="G65" s="170"/>
    </row>
    <row r="66" spans="1:7" x14ac:dyDescent="0.25">
      <c r="A66" s="117" t="s">
        <v>188</v>
      </c>
      <c r="D66" s="2"/>
      <c r="G66" s="171"/>
    </row>
    <row r="67" spans="1:7" x14ac:dyDescent="0.25">
      <c r="B67" t="s">
        <v>167</v>
      </c>
      <c r="D67" s="2"/>
      <c r="G67" s="171"/>
    </row>
    <row r="68" spans="1:7" x14ac:dyDescent="0.25">
      <c r="C68" t="s">
        <v>182</v>
      </c>
      <c r="D68" s="2" t="s">
        <v>165</v>
      </c>
      <c r="E68" s="173">
        <f>+E57</f>
        <v>5192.8</v>
      </c>
      <c r="F68" t="s">
        <v>166</v>
      </c>
      <c r="G68" s="171">
        <f>E68*4</f>
        <v>20771.2</v>
      </c>
    </row>
    <row r="69" spans="1:7" x14ac:dyDescent="0.25">
      <c r="C69" t="s">
        <v>189</v>
      </c>
      <c r="D69" s="2" t="s">
        <v>165</v>
      </c>
      <c r="E69" s="173">
        <f>+E58</f>
        <v>1932.9</v>
      </c>
      <c r="F69" t="s">
        <v>166</v>
      </c>
      <c r="G69" s="172">
        <f>E69*4</f>
        <v>7731.6</v>
      </c>
    </row>
    <row r="70" spans="1:7" x14ac:dyDescent="0.25">
      <c r="D70" s="2"/>
      <c r="G70" s="174">
        <f>SUM(G68:G69)</f>
        <v>28502.800000000003</v>
      </c>
    </row>
    <row r="71" spans="1:7" x14ac:dyDescent="0.25">
      <c r="B71" t="s">
        <v>171</v>
      </c>
      <c r="D71" s="2"/>
      <c r="G71" s="171"/>
    </row>
    <row r="72" spans="1:7" x14ac:dyDescent="0.25">
      <c r="B72" s="46"/>
      <c r="C72" t="s">
        <v>182</v>
      </c>
      <c r="D72" s="2" t="s">
        <v>165</v>
      </c>
      <c r="E72" s="46">
        <v>3761</v>
      </c>
      <c r="F72" t="s">
        <v>166</v>
      </c>
      <c r="G72" s="171">
        <f>E72*4</f>
        <v>15044</v>
      </c>
    </row>
    <row r="73" spans="1:7" x14ac:dyDescent="0.25">
      <c r="B73" s="46"/>
      <c r="C73" t="s">
        <v>189</v>
      </c>
      <c r="D73" s="2" t="s">
        <v>165</v>
      </c>
      <c r="E73" s="46">
        <v>1828</v>
      </c>
      <c r="F73" t="s">
        <v>166</v>
      </c>
      <c r="G73" s="172">
        <f>E73*4</f>
        <v>7312</v>
      </c>
    </row>
    <row r="74" spans="1:7" x14ac:dyDescent="0.25">
      <c r="D74" s="2"/>
      <c r="G74" s="172">
        <f>SUM(G72:G73)</f>
        <v>22356</v>
      </c>
    </row>
    <row r="75" spans="1:7" ht="21" customHeight="1" x14ac:dyDescent="0.25">
      <c r="B75" s="117" t="s">
        <v>187</v>
      </c>
      <c r="C75" s="176"/>
      <c r="D75" s="162"/>
      <c r="E75" s="177"/>
      <c r="F75" s="176"/>
      <c r="G75" s="175">
        <f>G70+G74</f>
        <v>50858.8</v>
      </c>
    </row>
    <row r="76" spans="1:7" x14ac:dyDescent="0.25">
      <c r="A76" s="117"/>
      <c r="B76" s="117"/>
      <c r="C76" s="117"/>
      <c r="D76" s="117"/>
      <c r="E76" s="118"/>
      <c r="F76" s="117"/>
      <c r="G76" s="170"/>
    </row>
    <row r="77" spans="1:7" x14ac:dyDescent="0.25">
      <c r="A77" s="117" t="s">
        <v>190</v>
      </c>
      <c r="B77" s="117"/>
      <c r="C77" s="117"/>
      <c r="D77" s="167"/>
      <c r="E77" s="118"/>
      <c r="F77" s="117"/>
      <c r="G77" s="170"/>
    </row>
    <row r="78" spans="1:7" x14ac:dyDescent="0.25">
      <c r="B78" t="s">
        <v>167</v>
      </c>
      <c r="D78" s="2"/>
      <c r="G78" s="171"/>
    </row>
    <row r="79" spans="1:7" x14ac:dyDescent="0.25">
      <c r="C79" t="s">
        <v>191</v>
      </c>
      <c r="D79" s="2" t="s">
        <v>165</v>
      </c>
      <c r="E79" s="173">
        <f>+E68</f>
        <v>5192.8</v>
      </c>
      <c r="F79" t="s">
        <v>166</v>
      </c>
      <c r="G79" s="171">
        <f>+E79*2</f>
        <v>10385.6</v>
      </c>
    </row>
    <row r="80" spans="1:7" x14ac:dyDescent="0.25">
      <c r="C80" t="s">
        <v>192</v>
      </c>
      <c r="D80" s="2" t="s">
        <v>165</v>
      </c>
      <c r="E80" s="173">
        <f>+E69</f>
        <v>1932.9</v>
      </c>
      <c r="F80" t="s">
        <v>166</v>
      </c>
      <c r="G80" s="172">
        <f>+E80*2</f>
        <v>3865.8</v>
      </c>
    </row>
    <row r="81" spans="1:7" x14ac:dyDescent="0.25">
      <c r="D81" s="2"/>
      <c r="G81" s="174">
        <f>SUM(G79:G80)</f>
        <v>14251.400000000001</v>
      </c>
    </row>
    <row r="82" spans="1:7" x14ac:dyDescent="0.25">
      <c r="B82" t="s">
        <v>171</v>
      </c>
      <c r="D82" s="2"/>
      <c r="G82" s="171"/>
    </row>
    <row r="83" spans="1:7" x14ac:dyDescent="0.25">
      <c r="B83" s="46"/>
      <c r="C83" t="s">
        <v>191</v>
      </c>
      <c r="D83" s="2" t="s">
        <v>165</v>
      </c>
      <c r="E83" s="46">
        <v>3761</v>
      </c>
      <c r="F83" t="s">
        <v>166</v>
      </c>
      <c r="G83" s="171">
        <f>+E83*2</f>
        <v>7522</v>
      </c>
    </row>
    <row r="84" spans="1:7" x14ac:dyDescent="0.25">
      <c r="B84" s="46"/>
      <c r="C84" t="s">
        <v>192</v>
      </c>
      <c r="D84" s="2" t="s">
        <v>165</v>
      </c>
      <c r="E84" s="46">
        <v>1828</v>
      </c>
      <c r="F84" t="s">
        <v>166</v>
      </c>
      <c r="G84" s="172">
        <f>+E84*2</f>
        <v>3656</v>
      </c>
    </row>
    <row r="85" spans="1:7" x14ac:dyDescent="0.25">
      <c r="D85" s="2"/>
      <c r="G85" s="171">
        <f>SUM(G83:G84)</f>
        <v>11178</v>
      </c>
    </row>
    <row r="86" spans="1:7" x14ac:dyDescent="0.25">
      <c r="A86" s="117"/>
      <c r="B86" s="117" t="s">
        <v>193</v>
      </c>
      <c r="C86" s="117"/>
      <c r="D86" s="117"/>
      <c r="E86" s="118"/>
      <c r="F86" s="117"/>
      <c r="G86" s="175">
        <f>G81+G85</f>
        <v>25429.4</v>
      </c>
    </row>
    <row r="87" spans="1:7" x14ac:dyDescent="0.25">
      <c r="D87" s="2"/>
      <c r="G87" s="171"/>
    </row>
    <row r="88" spans="1:7" x14ac:dyDescent="0.25">
      <c r="A88" s="117" t="s">
        <v>194</v>
      </c>
      <c r="B88" s="117"/>
      <c r="C88" s="117"/>
      <c r="D88" s="167"/>
      <c r="E88" s="118"/>
      <c r="F88" s="117"/>
      <c r="G88" s="170"/>
    </row>
    <row r="89" spans="1:7" x14ac:dyDescent="0.25">
      <c r="B89" t="s">
        <v>167</v>
      </c>
      <c r="D89" s="2"/>
      <c r="G89" s="171"/>
    </row>
    <row r="90" spans="1:7" x14ac:dyDescent="0.25">
      <c r="C90" t="s">
        <v>195</v>
      </c>
      <c r="D90" s="2" t="s">
        <v>165</v>
      </c>
      <c r="E90" s="173">
        <f>+E79</f>
        <v>5192.8</v>
      </c>
      <c r="F90" t="s">
        <v>166</v>
      </c>
      <c r="G90" s="171">
        <f>+E90*6</f>
        <v>31156.800000000003</v>
      </c>
    </row>
    <row r="91" spans="1:7" x14ac:dyDescent="0.25">
      <c r="C91" t="s">
        <v>196</v>
      </c>
      <c r="D91" s="2" t="s">
        <v>165</v>
      </c>
      <c r="E91" s="173">
        <f>+E80</f>
        <v>1932.9</v>
      </c>
      <c r="F91" t="s">
        <v>166</v>
      </c>
      <c r="G91" s="172">
        <f>+E91*6</f>
        <v>11597.400000000001</v>
      </c>
    </row>
    <row r="92" spans="1:7" x14ac:dyDescent="0.25">
      <c r="D92" s="2"/>
      <c r="G92" s="174">
        <f>SUM(G90:G91)</f>
        <v>42754.200000000004</v>
      </c>
    </row>
    <row r="93" spans="1:7" x14ac:dyDescent="0.25">
      <c r="B93" t="s">
        <v>171</v>
      </c>
      <c r="D93" s="2"/>
      <c r="G93" s="171"/>
    </row>
    <row r="94" spans="1:7" x14ac:dyDescent="0.25">
      <c r="B94" s="46"/>
      <c r="C94" t="s">
        <v>195</v>
      </c>
      <c r="D94" s="2" t="s">
        <v>165</v>
      </c>
      <c r="E94" s="46">
        <v>3761</v>
      </c>
      <c r="F94" t="s">
        <v>166</v>
      </c>
      <c r="G94" s="171">
        <f>+E94*6</f>
        <v>22566</v>
      </c>
    </row>
    <row r="95" spans="1:7" x14ac:dyDescent="0.25">
      <c r="B95" s="46"/>
      <c r="C95" t="s">
        <v>196</v>
      </c>
      <c r="D95" s="2" t="s">
        <v>165</v>
      </c>
      <c r="E95" s="46">
        <v>1828</v>
      </c>
      <c r="F95" t="s">
        <v>166</v>
      </c>
      <c r="G95" s="172">
        <f>+E95*6</f>
        <v>10968</v>
      </c>
    </row>
    <row r="96" spans="1:7" x14ac:dyDescent="0.25">
      <c r="D96" s="2"/>
      <c r="G96" s="171">
        <f>SUM(G94:G95)</f>
        <v>33534</v>
      </c>
    </row>
    <row r="97" spans="1:7" x14ac:dyDescent="0.25">
      <c r="A97" s="117"/>
      <c r="B97" s="117" t="s">
        <v>292</v>
      </c>
      <c r="C97" s="117"/>
      <c r="D97" s="117"/>
      <c r="E97" s="118"/>
      <c r="F97" s="117"/>
      <c r="G97" s="175">
        <f>G92+G96</f>
        <v>76288.200000000012</v>
      </c>
    </row>
    <row r="98" spans="1:7" x14ac:dyDescent="0.25">
      <c r="D98" s="2"/>
      <c r="G98" s="171"/>
    </row>
    <row r="99" spans="1:7" x14ac:dyDescent="0.25">
      <c r="D99" s="2"/>
      <c r="G99" s="171"/>
    </row>
    <row r="100" spans="1:7" x14ac:dyDescent="0.25">
      <c r="A100" s="117" t="s">
        <v>197</v>
      </c>
      <c r="B100" s="117"/>
      <c r="C100" s="117"/>
      <c r="D100" s="167"/>
      <c r="E100" s="118"/>
      <c r="F100" s="117"/>
      <c r="G100" s="170"/>
    </row>
    <row r="101" spans="1:7" x14ac:dyDescent="0.25">
      <c r="B101" t="s">
        <v>167</v>
      </c>
      <c r="D101" s="2"/>
      <c r="G101" s="171"/>
    </row>
    <row r="102" spans="1:7" x14ac:dyDescent="0.25">
      <c r="C102" t="s">
        <v>182</v>
      </c>
      <c r="D102" s="2" t="s">
        <v>165</v>
      </c>
      <c r="E102" s="173">
        <f>+E90</f>
        <v>5192.8</v>
      </c>
      <c r="F102" t="s">
        <v>166</v>
      </c>
      <c r="G102" s="171">
        <f>+E102*4</f>
        <v>20771.2</v>
      </c>
    </row>
    <row r="103" spans="1:7" x14ac:dyDescent="0.25">
      <c r="C103" t="s">
        <v>192</v>
      </c>
      <c r="D103" s="2" t="s">
        <v>165</v>
      </c>
      <c r="E103" s="173">
        <f>+E91</f>
        <v>1932.9</v>
      </c>
      <c r="F103" t="s">
        <v>166</v>
      </c>
      <c r="G103" s="172">
        <f>+E103*2</f>
        <v>3865.8</v>
      </c>
    </row>
    <row r="104" spans="1:7" x14ac:dyDescent="0.25">
      <c r="D104" s="2"/>
      <c r="G104" s="174">
        <f>SUM(G102:G103)</f>
        <v>24637</v>
      </c>
    </row>
    <row r="105" spans="1:7" x14ac:dyDescent="0.25">
      <c r="B105" t="s">
        <v>171</v>
      </c>
      <c r="D105" s="2"/>
      <c r="G105" s="171"/>
    </row>
    <row r="106" spans="1:7" x14ac:dyDescent="0.25">
      <c r="B106" s="46"/>
      <c r="C106" t="s">
        <v>182</v>
      </c>
      <c r="D106" s="2" t="s">
        <v>165</v>
      </c>
      <c r="E106" s="46">
        <v>3761</v>
      </c>
      <c r="F106" t="s">
        <v>166</v>
      </c>
      <c r="G106" s="171">
        <f>+E106*4</f>
        <v>15044</v>
      </c>
    </row>
    <row r="107" spans="1:7" x14ac:dyDescent="0.25">
      <c r="B107" s="46"/>
      <c r="C107" t="s">
        <v>192</v>
      </c>
      <c r="D107" s="2" t="s">
        <v>165</v>
      </c>
      <c r="E107" s="46">
        <v>1828</v>
      </c>
      <c r="F107" t="s">
        <v>166</v>
      </c>
      <c r="G107" s="172">
        <f>+E107*2</f>
        <v>3656</v>
      </c>
    </row>
    <row r="108" spans="1:7" x14ac:dyDescent="0.25">
      <c r="D108" s="2"/>
      <c r="G108" s="174">
        <f>SUM(G106:G107)</f>
        <v>18700</v>
      </c>
    </row>
    <row r="109" spans="1:7" x14ac:dyDescent="0.25">
      <c r="B109" s="117" t="s">
        <v>198</v>
      </c>
      <c r="D109" s="2"/>
      <c r="G109" s="175">
        <f>G104+G108</f>
        <v>43337</v>
      </c>
    </row>
    <row r="110" spans="1:7" ht="24.75" customHeight="1" x14ac:dyDescent="0.25">
      <c r="B110" s="249" t="s">
        <v>293</v>
      </c>
      <c r="G110" s="248">
        <f>+G109+G97+G86+G75+G64+G52+G40+G29+G18</f>
        <v>880612.18500000006</v>
      </c>
    </row>
  </sheetData>
  <pageMargins left="0.7" right="0.7" top="0.75" bottom="0.75" header="0.3" footer="0.3"/>
  <pageSetup orientation="portrait" r:id="rId1"/>
  <rowBreaks count="1" manualBreakCount="1">
    <brk id="4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9"/>
  <sheetViews>
    <sheetView topLeftCell="A4" zoomScale="200" zoomScaleNormal="200" workbookViewId="0">
      <selection activeCell="I15" sqref="I15"/>
    </sheetView>
  </sheetViews>
  <sheetFormatPr defaultRowHeight="15" x14ac:dyDescent="0.25"/>
  <cols>
    <col min="1" max="1" width="25.85546875" style="1" customWidth="1"/>
    <col min="2" max="2" width="2.7109375" style="1" customWidth="1"/>
    <col min="3" max="3" width="13.28515625" bestFit="1" customWidth="1"/>
    <col min="4" max="4" width="2.7109375" style="1" customWidth="1"/>
    <col min="5" max="5" width="0" hidden="1" customWidth="1"/>
    <col min="6" max="6" width="2.7109375" style="1" hidden="1" customWidth="1"/>
    <col min="7" max="7" width="16.5703125" bestFit="1" customWidth="1"/>
    <col min="8" max="8" width="0" style="179" hidden="1" customWidth="1"/>
    <col min="9" max="9" width="16.5703125" bestFit="1" customWidth="1"/>
  </cols>
  <sheetData>
    <row r="1" spans="1:9" s="45" customFormat="1" x14ac:dyDescent="0.25">
      <c r="A1" s="259" t="s">
        <v>199</v>
      </c>
      <c r="B1" s="259"/>
      <c r="C1" s="259"/>
      <c r="D1" s="259"/>
      <c r="E1" s="259"/>
      <c r="F1" s="259"/>
      <c r="G1" s="259"/>
      <c r="H1" s="259"/>
    </row>
    <row r="2" spans="1:9" s="45" customFormat="1" x14ac:dyDescent="0.25">
      <c r="A2" s="259" t="s">
        <v>200</v>
      </c>
      <c r="B2" s="259"/>
      <c r="C2" s="259"/>
      <c r="D2" s="259"/>
      <c r="E2" s="259"/>
      <c r="F2" s="259"/>
      <c r="G2" s="259"/>
      <c r="H2" s="259"/>
    </row>
    <row r="3" spans="1:9" s="45" customFormat="1" x14ac:dyDescent="0.25">
      <c r="A3" s="259" t="s">
        <v>228</v>
      </c>
      <c r="B3" s="259"/>
      <c r="C3" s="259"/>
      <c r="D3" s="259"/>
      <c r="E3" s="259"/>
      <c r="F3" s="259"/>
      <c r="G3" s="259"/>
      <c r="H3" s="259"/>
    </row>
    <row r="6" spans="1:9" x14ac:dyDescent="0.25">
      <c r="C6" s="260" t="s">
        <v>201</v>
      </c>
      <c r="D6" s="260"/>
      <c r="E6" s="260"/>
      <c r="F6" s="260"/>
      <c r="G6" s="260"/>
      <c r="H6" s="260"/>
      <c r="I6" s="260"/>
    </row>
    <row r="7" spans="1:9" x14ac:dyDescent="0.25">
      <c r="C7" s="180" t="s">
        <v>229</v>
      </c>
      <c r="D7" s="180"/>
      <c r="E7" s="181"/>
      <c r="F7" s="180"/>
      <c r="G7" s="180" t="s">
        <v>230</v>
      </c>
      <c r="I7" s="228" t="s">
        <v>250</v>
      </c>
    </row>
    <row r="8" spans="1:9" x14ac:dyDescent="0.25">
      <c r="C8" s="2"/>
      <c r="D8" s="67"/>
      <c r="E8" s="2"/>
      <c r="F8" s="67"/>
      <c r="G8" s="2"/>
      <c r="I8" s="2"/>
    </row>
    <row r="9" spans="1:9" ht="18" customHeight="1" x14ac:dyDescent="0.25">
      <c r="A9" s="182" t="s">
        <v>202</v>
      </c>
      <c r="B9" s="183"/>
      <c r="C9" s="184">
        <v>1827</v>
      </c>
      <c r="D9" s="185"/>
      <c r="E9" s="184"/>
      <c r="F9" s="185"/>
      <c r="G9" s="184">
        <f>+C9*90%</f>
        <v>1644.3</v>
      </c>
      <c r="H9" s="179" t="e">
        <f>E9/#REF!</f>
        <v>#REF!</v>
      </c>
      <c r="I9" s="184">
        <f>+'Allocation '!E6</f>
        <v>2021.3</v>
      </c>
    </row>
    <row r="10" spans="1:9" ht="18" customHeight="1" x14ac:dyDescent="0.25">
      <c r="A10" s="186" t="s">
        <v>203</v>
      </c>
      <c r="B10" s="183"/>
      <c r="C10" s="187">
        <f>+C9</f>
        <v>1827</v>
      </c>
      <c r="D10" s="187"/>
      <c r="E10" s="187"/>
      <c r="F10" s="187"/>
      <c r="G10" s="187">
        <f>+G9</f>
        <v>1644.3</v>
      </c>
      <c r="I10" s="187">
        <f>+I9</f>
        <v>2021.3</v>
      </c>
    </row>
    <row r="11" spans="1:9" ht="18" customHeight="1" x14ac:dyDescent="0.25">
      <c r="A11" s="183"/>
      <c r="B11" s="183"/>
      <c r="C11" s="184"/>
      <c r="D11" s="185"/>
      <c r="E11" s="184"/>
      <c r="F11" s="185"/>
      <c r="G11" s="184"/>
      <c r="I11" s="184"/>
    </row>
    <row r="12" spans="1:9" ht="18" customHeight="1" x14ac:dyDescent="0.25">
      <c r="A12" s="188" t="s">
        <v>204</v>
      </c>
      <c r="B12" s="189"/>
      <c r="C12" s="184"/>
      <c r="D12" s="185"/>
      <c r="E12" s="184"/>
      <c r="F12" s="185"/>
      <c r="G12" s="184"/>
      <c r="H12" s="179" t="e">
        <f>E12/#REF!</f>
        <v>#REF!</v>
      </c>
      <c r="I12" s="184"/>
    </row>
    <row r="13" spans="1:9" ht="18" customHeight="1" x14ac:dyDescent="0.25">
      <c r="A13" s="190" t="s">
        <v>205</v>
      </c>
      <c r="B13" s="183"/>
      <c r="C13" s="184">
        <v>5232</v>
      </c>
      <c r="D13" s="185"/>
      <c r="E13" s="184"/>
      <c r="F13" s="185"/>
      <c r="G13" s="184">
        <f>+C13*90%</f>
        <v>4708.8</v>
      </c>
      <c r="I13" s="184">
        <f>+'Allocation '!E10</f>
        <v>5192.8</v>
      </c>
    </row>
    <row r="14" spans="1:9" ht="18" customHeight="1" x14ac:dyDescent="0.25">
      <c r="A14" s="190" t="s">
        <v>206</v>
      </c>
      <c r="B14" s="183"/>
      <c r="C14" s="184">
        <v>2151</v>
      </c>
      <c r="D14" s="185"/>
      <c r="E14" s="184"/>
      <c r="F14" s="185"/>
      <c r="G14" s="184">
        <f>+C14*90%</f>
        <v>1935.9</v>
      </c>
      <c r="I14" s="184">
        <f>+'Allocation '!E11</f>
        <v>1932.9</v>
      </c>
    </row>
    <row r="15" spans="1:9" ht="18" customHeight="1" x14ac:dyDescent="0.25">
      <c r="A15" s="186" t="s">
        <v>117</v>
      </c>
      <c r="B15" s="183"/>
      <c r="C15" s="187">
        <f>SUM(C13:C14)</f>
        <v>7383</v>
      </c>
      <c r="D15" s="187"/>
      <c r="E15" s="187"/>
      <c r="F15" s="187"/>
      <c r="G15" s="187">
        <f>SUM(G13:G14)</f>
        <v>6644.7000000000007</v>
      </c>
      <c r="I15" s="187">
        <f>SUM(I13:I14)</f>
        <v>7125.7000000000007</v>
      </c>
    </row>
    <row r="16" spans="1:9" ht="18" customHeight="1" x14ac:dyDescent="0.25">
      <c r="A16" s="190"/>
      <c r="B16" s="183"/>
      <c r="C16" s="184"/>
      <c r="D16" s="185"/>
      <c r="E16" s="184"/>
      <c r="F16" s="185"/>
      <c r="G16" s="184"/>
      <c r="I16" s="184"/>
    </row>
    <row r="17" spans="1:9" s="192" customFormat="1" ht="18" customHeight="1" x14ac:dyDescent="0.25">
      <c r="A17" s="182" t="s">
        <v>207</v>
      </c>
      <c r="B17" s="183"/>
      <c r="C17" s="184"/>
      <c r="D17" s="185"/>
      <c r="E17" s="184"/>
      <c r="F17" s="185"/>
      <c r="G17" s="184"/>
      <c r="H17" s="191" t="e">
        <f>E17/#REF!</f>
        <v>#REF!</v>
      </c>
      <c r="I17" s="184"/>
    </row>
    <row r="18" spans="1:9" ht="18" customHeight="1" x14ac:dyDescent="0.25">
      <c r="A18" s="190" t="s">
        <v>205</v>
      </c>
      <c r="B18" s="183"/>
      <c r="C18" s="184">
        <v>4562</v>
      </c>
      <c r="D18" s="185"/>
      <c r="E18" s="184"/>
      <c r="F18" s="185"/>
      <c r="G18" s="184">
        <f>+C18*90%</f>
        <v>4105.8</v>
      </c>
      <c r="I18" s="184">
        <f>+E18*90%</f>
        <v>0</v>
      </c>
    </row>
    <row r="19" spans="1:9" ht="18" customHeight="1" x14ac:dyDescent="0.25">
      <c r="A19" s="190" t="s">
        <v>206</v>
      </c>
      <c r="B19" s="183"/>
      <c r="C19" s="184">
        <v>2116</v>
      </c>
      <c r="D19" s="185"/>
      <c r="E19" s="184"/>
      <c r="F19" s="185"/>
      <c r="G19" s="184">
        <f>+C19*90%</f>
        <v>1904.4</v>
      </c>
      <c r="I19" s="184">
        <f>+E19*90%</f>
        <v>0</v>
      </c>
    </row>
    <row r="20" spans="1:9" ht="18" customHeight="1" x14ac:dyDescent="0.25">
      <c r="A20" s="3" t="s">
        <v>132</v>
      </c>
      <c r="B20" s="3"/>
      <c r="C20" s="193">
        <f>SUM(C18:C19)</f>
        <v>6678</v>
      </c>
      <c r="D20" s="194"/>
      <c r="E20" s="194"/>
      <c r="F20" s="194"/>
      <c r="G20" s="187">
        <f>SUM(G18:G19)</f>
        <v>6010.2000000000007</v>
      </c>
      <c r="I20" s="187">
        <f>SUM(I18:I19)</f>
        <v>0</v>
      </c>
    </row>
    <row r="21" spans="1:9" x14ac:dyDescent="0.25">
      <c r="C21" s="195"/>
      <c r="D21" s="196"/>
      <c r="E21" s="195"/>
      <c r="F21" s="196"/>
      <c r="G21" s="195"/>
      <c r="I21" s="195"/>
    </row>
    <row r="22" spans="1:9" x14ac:dyDescent="0.25">
      <c r="C22" s="195"/>
      <c r="D22" s="196"/>
      <c r="E22" s="195"/>
      <c r="F22" s="196"/>
      <c r="G22" s="195"/>
      <c r="I22" s="195"/>
    </row>
    <row r="23" spans="1:9" x14ac:dyDescent="0.25">
      <c r="C23" s="195"/>
      <c r="D23" s="196"/>
      <c r="E23" s="195"/>
      <c r="F23" s="196"/>
      <c r="G23" s="195"/>
      <c r="I23" s="195"/>
    </row>
    <row r="24" spans="1:9" x14ac:dyDescent="0.25">
      <c r="C24" s="195"/>
      <c r="D24" s="196"/>
      <c r="E24" s="195"/>
      <c r="F24" s="196"/>
      <c r="G24" s="195"/>
      <c r="I24" s="195"/>
    </row>
    <row r="25" spans="1:9" x14ac:dyDescent="0.25">
      <c r="C25" s="195"/>
      <c r="D25" s="196"/>
      <c r="E25" s="195"/>
      <c r="F25" s="196"/>
      <c r="G25" s="195"/>
      <c r="I25" s="195"/>
    </row>
    <row r="26" spans="1:9" x14ac:dyDescent="0.25">
      <c r="C26" s="195"/>
      <c r="D26" s="196"/>
      <c r="E26" s="195"/>
      <c r="F26" s="196"/>
      <c r="G26" s="195"/>
      <c r="I26" s="195"/>
    </row>
    <row r="27" spans="1:9" x14ac:dyDescent="0.25">
      <c r="C27" s="195"/>
      <c r="D27" s="196"/>
      <c r="E27" s="195"/>
      <c r="F27" s="196"/>
      <c r="G27" s="195"/>
      <c r="I27" s="195"/>
    </row>
    <row r="28" spans="1:9" x14ac:dyDescent="0.25">
      <c r="C28" s="195"/>
      <c r="D28" s="196"/>
      <c r="E28" s="195"/>
      <c r="F28" s="196"/>
      <c r="G28" s="195"/>
      <c r="I28" s="195"/>
    </row>
    <row r="29" spans="1:9" x14ac:dyDescent="0.25">
      <c r="C29" s="195"/>
      <c r="D29" s="196"/>
      <c r="E29" s="195"/>
      <c r="F29" s="196"/>
      <c r="G29" s="195"/>
      <c r="I29" s="195"/>
    </row>
  </sheetData>
  <mergeCells count="4">
    <mergeCell ref="A1:H1"/>
    <mergeCell ref="A2:H2"/>
    <mergeCell ref="A3:H3"/>
    <mergeCell ref="C6:I6"/>
  </mergeCells>
  <printOptions horizontalCentered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Q91"/>
  <sheetViews>
    <sheetView zoomScaleNormal="100" workbookViewId="0">
      <selection activeCell="H9" sqref="H9"/>
    </sheetView>
  </sheetViews>
  <sheetFormatPr defaultRowHeight="15" x14ac:dyDescent="0.25"/>
  <cols>
    <col min="1" max="1" width="43.7109375" customWidth="1"/>
    <col min="2" max="2" width="8.28515625" customWidth="1"/>
    <col min="3" max="3" width="1.7109375" style="1" customWidth="1"/>
    <col min="4" max="4" width="10.5703125" bestFit="1" customWidth="1"/>
    <col min="5" max="5" width="1.7109375" style="1" customWidth="1"/>
    <col min="6" max="6" width="12.140625" customWidth="1"/>
    <col min="7" max="7" width="1.7109375" style="1" customWidth="1"/>
    <col min="8" max="8" width="11.7109375" style="4" bestFit="1" customWidth="1"/>
    <col min="9" max="9" width="1.7109375" style="1" customWidth="1"/>
    <col min="10" max="10" width="15.28515625" style="1" hidden="1" customWidth="1"/>
    <col min="11" max="11" width="13.140625" style="4" customWidth="1"/>
    <col min="12" max="12" width="1.7109375" style="16" customWidth="1"/>
    <col min="13" max="13" width="10.42578125" style="100" customWidth="1"/>
  </cols>
  <sheetData>
    <row r="1" spans="1:14" x14ac:dyDescent="0.25">
      <c r="A1" s="255" t="s">
        <v>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4" x14ac:dyDescent="0.25">
      <c r="A2" s="255" t="s">
        <v>48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14" x14ac:dyDescent="0.25">
      <c r="A3" s="255" t="s">
        <v>49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4" ht="15" customHeight="1" x14ac:dyDescent="0.25">
      <c r="A4" s="255" t="str">
        <f>+'Allocation '!A3:U3</f>
        <v>As of June 30, 2020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</row>
    <row r="5" spans="1:14" x14ac:dyDescent="0.25">
      <c r="A5" s="2"/>
      <c r="B5" s="2"/>
      <c r="C5" s="67"/>
      <c r="D5" s="2"/>
      <c r="E5" s="67"/>
      <c r="F5" s="2"/>
      <c r="G5" s="67"/>
      <c r="H5" s="6"/>
      <c r="I5" s="67"/>
      <c r="J5" s="226"/>
      <c r="K5" s="6"/>
      <c r="L5" s="68"/>
      <c r="M5" s="156"/>
    </row>
    <row r="6" spans="1:14" ht="30.75" thickBot="1" x14ac:dyDescent="0.3">
      <c r="A6" s="69" t="s">
        <v>3</v>
      </c>
      <c r="B6" s="234"/>
      <c r="C6" s="3"/>
      <c r="D6" s="70" t="s">
        <v>4</v>
      </c>
      <c r="E6" s="71"/>
      <c r="F6" s="70" t="s">
        <v>5</v>
      </c>
      <c r="G6" s="71"/>
      <c r="H6" s="13" t="s">
        <v>6</v>
      </c>
      <c r="I6" s="71"/>
      <c r="J6" s="88" t="s">
        <v>247</v>
      </c>
      <c r="K6" s="88" t="s">
        <v>249</v>
      </c>
      <c r="L6" s="72"/>
      <c r="M6" s="157" t="s">
        <v>51</v>
      </c>
    </row>
    <row r="7" spans="1:14" x14ac:dyDescent="0.25">
      <c r="A7" t="s">
        <v>0</v>
      </c>
      <c r="D7" s="73">
        <f>+'Allocation '!L7</f>
        <v>30319.5</v>
      </c>
      <c r="E7" s="74"/>
      <c r="F7" s="73">
        <v>0</v>
      </c>
      <c r="G7" s="74"/>
      <c r="H7" s="75">
        <f>D7+F7</f>
        <v>30319.5</v>
      </c>
      <c r="I7" s="74"/>
      <c r="J7" s="74"/>
      <c r="K7" s="75">
        <v>0</v>
      </c>
      <c r="L7" s="76"/>
      <c r="M7" s="34">
        <f>H7-J7-K7</f>
        <v>30319.5</v>
      </c>
      <c r="N7" s="128"/>
    </row>
    <row r="8" spans="1:14" x14ac:dyDescent="0.25">
      <c r="A8" t="s">
        <v>17</v>
      </c>
      <c r="D8" s="73">
        <f>+'Allocation '!L12</f>
        <v>131379.55499999999</v>
      </c>
      <c r="E8" s="74"/>
      <c r="F8" s="73">
        <v>0</v>
      </c>
      <c r="G8" s="74"/>
      <c r="H8" s="75">
        <f t="shared" ref="H8:H14" si="0">D8+F8</f>
        <v>131379.55499999999</v>
      </c>
      <c r="I8" s="74"/>
      <c r="J8" s="74"/>
      <c r="K8" s="75">
        <v>0</v>
      </c>
      <c r="L8" s="76"/>
      <c r="M8" s="34">
        <f t="shared" ref="M8:M10" si="1">H8-J8-K8</f>
        <v>131379.55499999999</v>
      </c>
    </row>
    <row r="9" spans="1:14" x14ac:dyDescent="0.25">
      <c r="A9" t="s">
        <v>18</v>
      </c>
      <c r="D9" s="73">
        <f>+'Allocation '!L16</f>
        <v>87962.782500000001</v>
      </c>
      <c r="E9" s="74"/>
      <c r="F9" s="73">
        <v>0</v>
      </c>
      <c r="G9" s="74"/>
      <c r="H9" s="75">
        <f t="shared" si="0"/>
        <v>87962.782500000001</v>
      </c>
      <c r="I9" s="74"/>
      <c r="J9" s="74"/>
      <c r="K9" s="75">
        <v>0</v>
      </c>
      <c r="L9" s="76"/>
      <c r="M9" s="34">
        <f t="shared" si="1"/>
        <v>87962.782500000001</v>
      </c>
    </row>
    <row r="10" spans="1:14" x14ac:dyDescent="0.25">
      <c r="A10" s="16" t="s">
        <v>279</v>
      </c>
      <c r="B10" s="16"/>
      <c r="D10" s="73">
        <v>0</v>
      </c>
      <c r="E10" s="74"/>
      <c r="F10" s="73">
        <v>291400</v>
      </c>
      <c r="G10" s="74"/>
      <c r="H10" s="75">
        <f t="shared" si="0"/>
        <v>291400</v>
      </c>
      <c r="I10" s="74"/>
      <c r="J10" s="74"/>
      <c r="K10" s="75">
        <v>0</v>
      </c>
      <c r="L10" s="76"/>
      <c r="M10" s="34">
        <f t="shared" si="1"/>
        <v>291400</v>
      </c>
    </row>
    <row r="11" spans="1:14" x14ac:dyDescent="0.25">
      <c r="A11" s="16" t="s">
        <v>280</v>
      </c>
      <c r="B11" s="16"/>
      <c r="D11" s="73">
        <v>0</v>
      </c>
      <c r="E11" s="74"/>
      <c r="F11" s="73">
        <v>70000</v>
      </c>
      <c r="G11" s="74"/>
      <c r="H11" s="75">
        <f t="shared" si="0"/>
        <v>70000</v>
      </c>
      <c r="I11" s="74"/>
      <c r="J11" s="74"/>
      <c r="K11" s="75">
        <v>0</v>
      </c>
      <c r="L11" s="76"/>
      <c r="M11" s="34">
        <f>H11-K11</f>
        <v>70000</v>
      </c>
    </row>
    <row r="12" spans="1:14" x14ac:dyDescent="0.25">
      <c r="A12" s="16" t="s">
        <v>281</v>
      </c>
      <c r="B12" s="16"/>
      <c r="D12" s="73">
        <v>0</v>
      </c>
      <c r="E12" s="74"/>
      <c r="F12" s="73">
        <v>5000</v>
      </c>
      <c r="G12" s="74"/>
      <c r="H12" s="75">
        <f t="shared" si="0"/>
        <v>5000</v>
      </c>
      <c r="I12" s="74"/>
      <c r="J12" s="74"/>
      <c r="K12" s="75">
        <v>0</v>
      </c>
      <c r="L12" s="76"/>
      <c r="M12" s="34">
        <f t="shared" ref="M12:M14" si="2">H12-K12</f>
        <v>5000</v>
      </c>
    </row>
    <row r="13" spans="1:14" x14ac:dyDescent="0.25">
      <c r="A13" s="16" t="s">
        <v>282</v>
      </c>
      <c r="B13" s="16"/>
      <c r="D13" s="73">
        <v>0</v>
      </c>
      <c r="E13" s="74"/>
      <c r="F13" s="73">
        <v>27000</v>
      </c>
      <c r="G13" s="74"/>
      <c r="H13" s="75">
        <f t="shared" ref="H13" si="3">D13+F13</f>
        <v>27000</v>
      </c>
      <c r="I13" s="74"/>
      <c r="J13" s="74"/>
      <c r="K13" s="75">
        <v>0</v>
      </c>
      <c r="L13" s="76"/>
      <c r="M13" s="34">
        <f t="shared" ref="M13" si="4">H13-K13</f>
        <v>27000</v>
      </c>
    </row>
    <row r="14" spans="1:14" x14ac:dyDescent="0.25">
      <c r="A14" s="16" t="s">
        <v>297</v>
      </c>
      <c r="B14" s="16"/>
      <c r="D14" s="73">
        <v>0</v>
      </c>
      <c r="E14" s="74"/>
      <c r="F14" s="73">
        <v>1500</v>
      </c>
      <c r="G14" s="74"/>
      <c r="H14" s="75">
        <f t="shared" si="0"/>
        <v>1500</v>
      </c>
      <c r="I14" s="74"/>
      <c r="J14" s="74"/>
      <c r="K14" s="75">
        <v>0</v>
      </c>
      <c r="L14" s="76"/>
      <c r="M14" s="34">
        <f t="shared" si="2"/>
        <v>1500</v>
      </c>
    </row>
    <row r="15" spans="1:14" x14ac:dyDescent="0.25">
      <c r="A15" s="46" t="s">
        <v>23</v>
      </c>
      <c r="B15" s="46"/>
      <c r="D15" s="78">
        <f>SUM(D7:D14)</f>
        <v>249661.83749999999</v>
      </c>
      <c r="E15" s="74"/>
      <c r="F15" s="78">
        <f>SUM(F7:F14)</f>
        <v>394900</v>
      </c>
      <c r="G15" s="78">
        <f>SUM(G7:G14)</f>
        <v>0</v>
      </c>
      <c r="H15" s="78">
        <f>SUM(H7:H14)</f>
        <v>644561.83750000002</v>
      </c>
      <c r="I15" s="74"/>
      <c r="J15" s="78">
        <f>SUM(J7:J11)</f>
        <v>0</v>
      </c>
      <c r="K15" s="78">
        <f>SUM(K7:K14)</f>
        <v>0</v>
      </c>
      <c r="L15" s="76"/>
      <c r="M15" s="78">
        <f>SUM(M7:M14)</f>
        <v>644561.83750000002</v>
      </c>
    </row>
    <row r="16" spans="1:14" x14ac:dyDescent="0.25">
      <c r="D16" s="73"/>
      <c r="E16" s="74"/>
      <c r="F16" s="73"/>
      <c r="G16" s="74"/>
      <c r="H16" s="75"/>
      <c r="I16" s="74"/>
      <c r="J16" s="74"/>
      <c r="K16" s="75"/>
      <c r="L16" s="76"/>
      <c r="M16" s="34"/>
    </row>
    <row r="17" spans="1:17" x14ac:dyDescent="0.25">
      <c r="A17" s="79" t="s">
        <v>24</v>
      </c>
      <c r="B17" s="79"/>
      <c r="D17" s="73">
        <f>+'Allocation '!L26</f>
        <v>23000</v>
      </c>
      <c r="E17" s="74"/>
      <c r="F17" s="73">
        <v>0</v>
      </c>
      <c r="G17" s="74"/>
      <c r="H17" s="75">
        <f t="shared" ref="H17:H32" si="5">D17+F17</f>
        <v>23000</v>
      </c>
      <c r="I17" s="74"/>
      <c r="J17" s="74"/>
      <c r="K17" s="75">
        <f>24+10094+250+10959</f>
        <v>21327</v>
      </c>
      <c r="L17" s="76"/>
      <c r="M17" s="34">
        <f t="shared" ref="M17:M45" si="6">H17-J17-K17</f>
        <v>1673</v>
      </c>
      <c r="O17" s="47"/>
      <c r="Q17" s="47"/>
    </row>
    <row r="18" spans="1:17" x14ac:dyDescent="0.25">
      <c r="A18" s="79" t="s">
        <v>25</v>
      </c>
      <c r="B18" s="79"/>
      <c r="D18" s="73">
        <f>+'Allocation '!L27</f>
        <v>4125</v>
      </c>
      <c r="E18" s="74"/>
      <c r="F18" s="73">
        <v>0</v>
      </c>
      <c r="G18" s="74"/>
      <c r="H18" s="75">
        <f t="shared" si="5"/>
        <v>4125</v>
      </c>
      <c r="I18" s="74"/>
      <c r="J18" s="74"/>
      <c r="K18" s="75">
        <v>3644</v>
      </c>
      <c r="L18" s="76"/>
      <c r="M18" s="34">
        <f t="shared" si="6"/>
        <v>481</v>
      </c>
    </row>
    <row r="19" spans="1:17" x14ac:dyDescent="0.25">
      <c r="A19" s="79" t="s">
        <v>26</v>
      </c>
      <c r="B19" s="79"/>
      <c r="D19" s="73">
        <f>+'Allocation '!L28</f>
        <v>9000</v>
      </c>
      <c r="E19" s="74"/>
      <c r="F19" s="73">
        <v>0</v>
      </c>
      <c r="G19" s="74"/>
      <c r="H19" s="75">
        <f t="shared" si="5"/>
        <v>9000</v>
      </c>
      <c r="I19" s="74"/>
      <c r="J19" s="74"/>
      <c r="K19" s="75">
        <v>10567</v>
      </c>
      <c r="L19" s="76"/>
      <c r="M19" s="34">
        <f t="shared" si="6"/>
        <v>-1567</v>
      </c>
    </row>
    <row r="20" spans="1:17" ht="15" customHeight="1" x14ac:dyDescent="0.25">
      <c r="A20" s="79" t="s">
        <v>27</v>
      </c>
      <c r="B20" s="79"/>
      <c r="D20" s="73">
        <f>+'Allocation '!L29</f>
        <v>6000</v>
      </c>
      <c r="E20" s="74"/>
      <c r="F20" s="73">
        <v>0</v>
      </c>
      <c r="G20" s="74"/>
      <c r="H20" s="75">
        <f t="shared" si="5"/>
        <v>6000</v>
      </c>
      <c r="I20" s="74"/>
      <c r="J20" s="74"/>
      <c r="K20" s="75">
        <v>6763</v>
      </c>
      <c r="L20" s="76"/>
      <c r="M20" s="34">
        <f t="shared" si="6"/>
        <v>-763</v>
      </c>
    </row>
    <row r="21" spans="1:17" ht="15" customHeight="1" x14ac:dyDescent="0.25">
      <c r="A21" s="79" t="s">
        <v>28</v>
      </c>
      <c r="B21" s="79"/>
      <c r="D21" s="73">
        <f>+'Allocation '!L30</f>
        <v>1181</v>
      </c>
      <c r="E21" s="74"/>
      <c r="F21" s="73">
        <v>0</v>
      </c>
      <c r="G21" s="74"/>
      <c r="H21" s="75">
        <f t="shared" si="5"/>
        <v>1181</v>
      </c>
      <c r="I21" s="74"/>
      <c r="J21" s="74"/>
      <c r="K21" s="75">
        <v>0</v>
      </c>
      <c r="L21" s="76"/>
      <c r="M21" s="34">
        <f t="shared" si="6"/>
        <v>1181</v>
      </c>
      <c r="O21" s="47"/>
    </row>
    <row r="22" spans="1:17" ht="15" customHeight="1" x14ac:dyDescent="0.25">
      <c r="A22" s="79" t="s">
        <v>29</v>
      </c>
      <c r="B22" s="79"/>
      <c r="D22" s="73">
        <f>+'Allocation '!L31</f>
        <v>2000</v>
      </c>
      <c r="E22" s="74"/>
      <c r="F22" s="73">
        <v>0</v>
      </c>
      <c r="G22" s="74"/>
      <c r="H22" s="75">
        <f t="shared" si="5"/>
        <v>2000</v>
      </c>
      <c r="I22" s="74"/>
      <c r="J22" s="74"/>
      <c r="K22" s="75">
        <v>0</v>
      </c>
      <c r="L22" s="76"/>
      <c r="M22" s="34">
        <f t="shared" si="6"/>
        <v>2000</v>
      </c>
    </row>
    <row r="23" spans="1:17" x14ac:dyDescent="0.25">
      <c r="A23" s="79" t="s">
        <v>30</v>
      </c>
      <c r="B23" s="79"/>
      <c r="D23" s="73">
        <f>+'Allocation '!L32</f>
        <v>23000</v>
      </c>
      <c r="E23" s="74"/>
      <c r="F23" s="73">
        <v>0</v>
      </c>
      <c r="G23" s="74"/>
      <c r="H23" s="75">
        <f t="shared" si="5"/>
        <v>23000</v>
      </c>
      <c r="I23" s="74"/>
      <c r="J23" s="74"/>
      <c r="K23" s="75">
        <v>0</v>
      </c>
      <c r="L23" s="76"/>
      <c r="M23" s="34">
        <f t="shared" si="6"/>
        <v>23000</v>
      </c>
    </row>
    <row r="24" spans="1:17" ht="15" customHeight="1" x14ac:dyDescent="0.25">
      <c r="A24" s="79" t="s">
        <v>31</v>
      </c>
      <c r="B24" s="79"/>
      <c r="D24" s="73">
        <f>+'Allocation '!L33</f>
        <v>2500</v>
      </c>
      <c r="E24" s="74"/>
      <c r="F24" s="73">
        <v>0</v>
      </c>
      <c r="G24" s="74"/>
      <c r="H24" s="75">
        <f t="shared" si="5"/>
        <v>2500</v>
      </c>
      <c r="I24" s="74"/>
      <c r="J24" s="74"/>
      <c r="K24" s="75">
        <v>2653</v>
      </c>
      <c r="L24" s="76"/>
      <c r="M24" s="34">
        <f t="shared" si="6"/>
        <v>-153</v>
      </c>
    </row>
    <row r="25" spans="1:17" ht="15" customHeight="1" x14ac:dyDescent="0.25">
      <c r="A25" s="79" t="s">
        <v>33</v>
      </c>
      <c r="B25" s="79">
        <v>2468</v>
      </c>
      <c r="D25" s="73">
        <f>+'Allocation '!L34</f>
        <v>20000</v>
      </c>
      <c r="E25" s="74"/>
      <c r="F25" s="73">
        <v>0</v>
      </c>
      <c r="G25" s="74"/>
      <c r="H25" s="75">
        <f>D25+F25</f>
        <v>20000</v>
      </c>
      <c r="I25" s="74"/>
      <c r="J25" s="74"/>
      <c r="K25" s="75">
        <f>3770+3970+292</f>
        <v>8032</v>
      </c>
      <c r="L25" s="76"/>
      <c r="M25" s="34">
        <f t="shared" si="6"/>
        <v>11968</v>
      </c>
    </row>
    <row r="26" spans="1:17" s="4" customFormat="1" ht="15" customHeight="1" x14ac:dyDescent="0.25">
      <c r="A26" s="102" t="s">
        <v>158</v>
      </c>
      <c r="B26" s="102"/>
      <c r="C26" s="16"/>
      <c r="D26" s="73">
        <f>+'Allocation '!L35</f>
        <v>38000</v>
      </c>
      <c r="E26" s="76"/>
      <c r="F26" s="75">
        <v>0</v>
      </c>
      <c r="G26" s="76"/>
      <c r="H26" s="75">
        <f>D26+F26</f>
        <v>38000</v>
      </c>
      <c r="I26" s="76"/>
      <c r="J26" s="76"/>
      <c r="K26" s="75">
        <v>39413.79</v>
      </c>
      <c r="L26" s="76"/>
      <c r="M26" s="34">
        <f t="shared" si="6"/>
        <v>-1413.7900000000009</v>
      </c>
    </row>
    <row r="27" spans="1:17" ht="15" customHeight="1" x14ac:dyDescent="0.25">
      <c r="A27" s="80" t="s">
        <v>32</v>
      </c>
      <c r="B27" s="80">
        <v>2473</v>
      </c>
      <c r="D27" s="73">
        <v>1200</v>
      </c>
      <c r="E27" s="74"/>
      <c r="F27" s="73">
        <v>0</v>
      </c>
      <c r="G27" s="74"/>
      <c r="H27" s="75">
        <f t="shared" si="5"/>
        <v>1200</v>
      </c>
      <c r="I27" s="74"/>
      <c r="J27" s="76">
        <v>0</v>
      </c>
      <c r="K27" s="75">
        <f>226+205+205</f>
        <v>636</v>
      </c>
      <c r="L27" s="76"/>
      <c r="M27" s="34">
        <f t="shared" si="6"/>
        <v>564</v>
      </c>
    </row>
    <row r="28" spans="1:17" ht="15" customHeight="1" x14ac:dyDescent="0.25">
      <c r="A28" s="79" t="s">
        <v>149</v>
      </c>
      <c r="B28" s="236" t="s">
        <v>270</v>
      </c>
      <c r="D28" s="73">
        <v>40000</v>
      </c>
      <c r="E28" s="74"/>
      <c r="F28" s="73">
        <v>15000</v>
      </c>
      <c r="G28" s="74"/>
      <c r="H28" s="75">
        <f>D28+F28</f>
        <v>55000</v>
      </c>
      <c r="I28" s="74"/>
      <c r="J28" s="76">
        <f>'Pandora''s Box'!I20</f>
        <v>0</v>
      </c>
      <c r="K28" s="75">
        <f>+'Pandora''s Box'!J20</f>
        <v>16064</v>
      </c>
      <c r="L28" s="76"/>
      <c r="M28" s="34">
        <f t="shared" si="6"/>
        <v>38936</v>
      </c>
      <c r="N28" s="47"/>
    </row>
    <row r="29" spans="1:17" ht="15" customHeight="1" x14ac:dyDescent="0.25">
      <c r="A29" s="79" t="s">
        <v>38</v>
      </c>
      <c r="B29" s="236" t="s">
        <v>271</v>
      </c>
      <c r="D29" s="73">
        <v>12000</v>
      </c>
      <c r="E29" s="74"/>
      <c r="F29" s="73">
        <v>7360</v>
      </c>
      <c r="G29" s="74"/>
      <c r="H29" s="75">
        <f>D29+F29</f>
        <v>19360</v>
      </c>
      <c r="I29" s="74"/>
      <c r="J29" s="76">
        <v>0</v>
      </c>
      <c r="K29" s="75">
        <v>21287.69</v>
      </c>
      <c r="L29" s="76"/>
      <c r="M29" s="34">
        <f t="shared" si="6"/>
        <v>-1927.6899999999987</v>
      </c>
    </row>
    <row r="30" spans="1:17" ht="15" customHeight="1" x14ac:dyDescent="0.25">
      <c r="A30" s="79" t="s">
        <v>40</v>
      </c>
      <c r="B30" s="79"/>
      <c r="D30" s="73">
        <v>3000</v>
      </c>
      <c r="E30" s="74"/>
      <c r="F30" s="73">
        <v>0</v>
      </c>
      <c r="G30" s="74"/>
      <c r="H30" s="75">
        <f>D30+F30</f>
        <v>3000</v>
      </c>
      <c r="I30" s="74"/>
      <c r="J30" s="74"/>
      <c r="K30" s="75"/>
      <c r="L30" s="76"/>
      <c r="M30" s="34">
        <f t="shared" si="6"/>
        <v>3000</v>
      </c>
    </row>
    <row r="31" spans="1:17" ht="15" customHeight="1" x14ac:dyDescent="0.25">
      <c r="A31" s="79" t="s">
        <v>41</v>
      </c>
      <c r="B31" s="236" t="s">
        <v>272</v>
      </c>
      <c r="D31" s="73">
        <v>5000</v>
      </c>
      <c r="E31" s="74"/>
      <c r="F31" s="73">
        <v>0</v>
      </c>
      <c r="G31" s="74"/>
      <c r="H31" s="75">
        <f t="shared" si="5"/>
        <v>5000</v>
      </c>
      <c r="I31" s="74"/>
      <c r="J31" s="74"/>
      <c r="K31" s="75">
        <v>3357.85</v>
      </c>
      <c r="L31" s="76"/>
      <c r="M31" s="34">
        <f t="shared" si="6"/>
        <v>1642.15</v>
      </c>
    </row>
    <row r="32" spans="1:17" ht="15" customHeight="1" x14ac:dyDescent="0.25">
      <c r="A32" s="79" t="s">
        <v>42</v>
      </c>
      <c r="B32" s="79"/>
      <c r="D32" s="73">
        <v>5000</v>
      </c>
      <c r="E32" s="74"/>
      <c r="F32" s="73">
        <v>0</v>
      </c>
      <c r="G32" s="74"/>
      <c r="H32" s="75">
        <f t="shared" si="5"/>
        <v>5000</v>
      </c>
      <c r="I32" s="74"/>
      <c r="J32" s="74">
        <v>0</v>
      </c>
      <c r="K32" s="75">
        <v>6000</v>
      </c>
      <c r="L32" s="76"/>
      <c r="M32" s="34">
        <f t="shared" si="6"/>
        <v>-1000</v>
      </c>
    </row>
    <row r="33" spans="1:13" ht="15" customHeight="1" x14ac:dyDescent="0.25">
      <c r="A33" s="81" t="s">
        <v>157</v>
      </c>
      <c r="B33" s="81"/>
      <c r="D33" s="73">
        <v>8000</v>
      </c>
      <c r="E33" s="74"/>
      <c r="F33" s="73">
        <v>0</v>
      </c>
      <c r="G33" s="74"/>
      <c r="H33" s="75">
        <v>8000</v>
      </c>
      <c r="I33" s="74"/>
      <c r="J33" s="74"/>
      <c r="K33" s="75"/>
      <c r="L33" s="76"/>
      <c r="M33" s="34">
        <f t="shared" si="6"/>
        <v>8000</v>
      </c>
    </row>
    <row r="34" spans="1:13" ht="15" customHeight="1" x14ac:dyDescent="0.25">
      <c r="A34" s="81" t="s">
        <v>239</v>
      </c>
      <c r="B34" s="81"/>
      <c r="D34" s="73">
        <v>5000</v>
      </c>
      <c r="E34" s="74"/>
      <c r="F34" s="73">
        <v>0</v>
      </c>
      <c r="G34" s="74"/>
      <c r="H34" s="75">
        <f>+D34+F34</f>
        <v>5000</v>
      </c>
      <c r="I34" s="74"/>
      <c r="J34" s="74"/>
      <c r="K34" s="75">
        <v>3841.6</v>
      </c>
      <c r="L34" s="76"/>
      <c r="M34" s="34">
        <f t="shared" si="6"/>
        <v>1158.4000000000001</v>
      </c>
    </row>
    <row r="35" spans="1:13" ht="15" customHeight="1" x14ac:dyDescent="0.25">
      <c r="A35" s="81" t="s">
        <v>274</v>
      </c>
      <c r="B35" s="81"/>
      <c r="D35" s="73"/>
      <c r="E35" s="74"/>
      <c r="F35" s="73">
        <v>291400</v>
      </c>
      <c r="G35" s="74"/>
      <c r="H35" s="75">
        <f>+D35+F35</f>
        <v>291400</v>
      </c>
      <c r="I35" s="74"/>
      <c r="J35" s="74"/>
      <c r="K35" s="75">
        <v>290329.38</v>
      </c>
      <c r="L35" s="76"/>
      <c r="M35" s="34">
        <f t="shared" si="6"/>
        <v>1070.6199999999953</v>
      </c>
    </row>
    <row r="36" spans="1:13" ht="15" customHeight="1" x14ac:dyDescent="0.25">
      <c r="A36" s="81" t="s">
        <v>241</v>
      </c>
      <c r="B36" s="81">
        <v>2474</v>
      </c>
      <c r="D36" s="73">
        <v>0</v>
      </c>
      <c r="E36" s="74"/>
      <c r="F36" s="73">
        <v>12000</v>
      </c>
      <c r="G36" s="74"/>
      <c r="H36" s="75">
        <f>+D36+F36</f>
        <v>12000</v>
      </c>
      <c r="I36" s="74"/>
      <c r="J36" s="74">
        <v>0</v>
      </c>
      <c r="K36" s="75">
        <f>553.72+3816.37+2593.73+453.02+3500+2500</f>
        <v>13416.84</v>
      </c>
      <c r="L36" s="76"/>
      <c r="M36" s="34">
        <f t="shared" si="6"/>
        <v>-1416.8400000000001</v>
      </c>
    </row>
    <row r="37" spans="1:13" s="130" customFormat="1" ht="15" customHeight="1" x14ac:dyDescent="0.25">
      <c r="A37" s="35" t="s">
        <v>245</v>
      </c>
      <c r="B37" s="35"/>
      <c r="C37" s="129"/>
      <c r="D37" s="73"/>
      <c r="E37" s="74"/>
      <c r="F37" s="73">
        <v>10200</v>
      </c>
      <c r="G37" s="74"/>
      <c r="H37" s="75">
        <f>+D37+F37</f>
        <v>10200</v>
      </c>
      <c r="I37" s="74"/>
      <c r="J37" s="74"/>
      <c r="K37" s="75">
        <v>1500</v>
      </c>
      <c r="L37" s="76"/>
      <c r="M37" s="34">
        <f t="shared" si="6"/>
        <v>8700</v>
      </c>
    </row>
    <row r="38" spans="1:13" ht="15" customHeight="1" x14ac:dyDescent="0.25">
      <c r="A38" s="81" t="s">
        <v>246</v>
      </c>
      <c r="B38" s="81"/>
      <c r="D38" s="73">
        <v>0</v>
      </c>
      <c r="E38" s="74"/>
      <c r="F38" s="73">
        <v>1800</v>
      </c>
      <c r="G38" s="74"/>
      <c r="H38" s="75">
        <f>+D38+F38</f>
        <v>1800</v>
      </c>
      <c r="I38" s="74"/>
      <c r="J38" s="74"/>
      <c r="K38" s="75">
        <f>9.18+1341.06</f>
        <v>1350.24</v>
      </c>
      <c r="L38" s="76"/>
      <c r="M38" s="34">
        <f t="shared" si="6"/>
        <v>449.76</v>
      </c>
    </row>
    <row r="39" spans="1:13" s="130" customFormat="1" ht="15" customHeight="1" x14ac:dyDescent="0.25">
      <c r="A39" s="81" t="s">
        <v>258</v>
      </c>
      <c r="B39" s="237" t="s">
        <v>273</v>
      </c>
      <c r="C39" s="129"/>
      <c r="D39" s="73">
        <v>0</v>
      </c>
      <c r="E39" s="74"/>
      <c r="F39" s="73">
        <v>4000</v>
      </c>
      <c r="G39" s="74"/>
      <c r="H39" s="75">
        <f t="shared" ref="H39:H45" si="7">+D39+F39</f>
        <v>4000</v>
      </c>
      <c r="I39" s="74"/>
      <c r="J39" s="74"/>
      <c r="K39" s="75">
        <v>0</v>
      </c>
      <c r="L39" s="76"/>
      <c r="M39" s="34">
        <f t="shared" si="6"/>
        <v>4000</v>
      </c>
    </row>
    <row r="40" spans="1:13" s="130" customFormat="1" ht="15" customHeight="1" x14ac:dyDescent="0.25">
      <c r="A40" s="81" t="s">
        <v>257</v>
      </c>
      <c r="B40" s="81">
        <v>2467</v>
      </c>
      <c r="C40" s="129"/>
      <c r="D40" s="73">
        <v>0</v>
      </c>
      <c r="E40" s="74"/>
      <c r="F40" s="73">
        <v>4000</v>
      </c>
      <c r="G40" s="74"/>
      <c r="H40" s="75">
        <f t="shared" si="7"/>
        <v>4000</v>
      </c>
      <c r="I40" s="74"/>
      <c r="J40" s="74"/>
      <c r="K40" s="75">
        <v>500</v>
      </c>
      <c r="L40" s="76"/>
      <c r="M40" s="34">
        <f t="shared" si="6"/>
        <v>3500</v>
      </c>
    </row>
    <row r="41" spans="1:13" s="130" customFormat="1" ht="15" customHeight="1" x14ac:dyDescent="0.25">
      <c r="A41" s="81" t="s">
        <v>259</v>
      </c>
      <c r="B41" s="81"/>
      <c r="C41" s="129"/>
      <c r="D41" s="73">
        <v>0</v>
      </c>
      <c r="E41" s="74"/>
      <c r="F41" s="73">
        <v>4000</v>
      </c>
      <c r="G41" s="74"/>
      <c r="H41" s="75">
        <f t="shared" si="7"/>
        <v>4000</v>
      </c>
      <c r="I41" s="74"/>
      <c r="J41" s="74"/>
      <c r="K41" s="75">
        <v>4000</v>
      </c>
      <c r="L41" s="76"/>
      <c r="M41" s="34">
        <f t="shared" si="6"/>
        <v>0</v>
      </c>
    </row>
    <row r="42" spans="1:13" s="130" customFormat="1" ht="15" customHeight="1" x14ac:dyDescent="0.25">
      <c r="A42" s="81" t="s">
        <v>260</v>
      </c>
      <c r="B42" s="81">
        <v>2475</v>
      </c>
      <c r="C42" s="129"/>
      <c r="D42" s="73">
        <v>0</v>
      </c>
      <c r="E42" s="74"/>
      <c r="F42" s="73">
        <v>3000</v>
      </c>
      <c r="G42" s="74"/>
      <c r="H42" s="75">
        <f t="shared" si="7"/>
        <v>3000</v>
      </c>
      <c r="I42" s="74"/>
      <c r="J42" s="74"/>
      <c r="K42" s="75">
        <f>2080+421.73+511.46</f>
        <v>3013.19</v>
      </c>
      <c r="L42" s="76"/>
      <c r="M42" s="34">
        <f t="shared" si="6"/>
        <v>-13.190000000000055</v>
      </c>
    </row>
    <row r="43" spans="1:13" s="130" customFormat="1" ht="15" customHeight="1" x14ac:dyDescent="0.25">
      <c r="A43" s="81" t="s">
        <v>276</v>
      </c>
      <c r="B43" s="81">
        <v>2415</v>
      </c>
      <c r="C43" s="129"/>
      <c r="D43" s="73">
        <v>0</v>
      </c>
      <c r="E43" s="74"/>
      <c r="F43" s="18">
        <v>70000</v>
      </c>
      <c r="G43" s="74"/>
      <c r="H43" s="75">
        <f t="shared" si="7"/>
        <v>70000</v>
      </c>
      <c r="I43" s="74"/>
      <c r="J43" s="74">
        <v>0</v>
      </c>
      <c r="K43" s="75">
        <v>0</v>
      </c>
      <c r="L43" s="76"/>
      <c r="M43" s="34">
        <f>H43-J43-K43</f>
        <v>70000</v>
      </c>
    </row>
    <row r="44" spans="1:13" s="155" customFormat="1" ht="15" customHeight="1" x14ac:dyDescent="0.25">
      <c r="A44" s="35" t="s">
        <v>277</v>
      </c>
      <c r="B44" s="149"/>
      <c r="C44" s="150"/>
      <c r="D44" s="151">
        <v>0</v>
      </c>
      <c r="E44" s="152"/>
      <c r="F44" s="18">
        <v>5000</v>
      </c>
      <c r="G44" s="152"/>
      <c r="H44" s="75">
        <f t="shared" si="7"/>
        <v>5000</v>
      </c>
      <c r="I44" s="152"/>
      <c r="J44" s="74"/>
      <c r="K44" s="75">
        <v>3600</v>
      </c>
      <c r="L44" s="154"/>
      <c r="M44" s="34">
        <f t="shared" si="6"/>
        <v>1400</v>
      </c>
    </row>
    <row r="45" spans="1:13" s="130" customFormat="1" ht="15" customHeight="1" x14ac:dyDescent="0.25">
      <c r="A45" s="81" t="s">
        <v>278</v>
      </c>
      <c r="B45" s="81"/>
      <c r="C45" s="129"/>
      <c r="D45" s="73">
        <v>0</v>
      </c>
      <c r="E45" s="74"/>
      <c r="F45" s="18">
        <v>27000</v>
      </c>
      <c r="G45" s="74"/>
      <c r="H45" s="75">
        <f t="shared" si="7"/>
        <v>27000</v>
      </c>
      <c r="I45" s="74"/>
      <c r="J45" s="74">
        <v>0</v>
      </c>
      <c r="K45" s="75">
        <v>20740</v>
      </c>
      <c r="L45" s="76"/>
      <c r="M45" s="34">
        <f t="shared" si="6"/>
        <v>6260</v>
      </c>
    </row>
    <row r="46" spans="1:13" s="130" customFormat="1" ht="15" customHeight="1" x14ac:dyDescent="0.25">
      <c r="A46" s="81" t="s">
        <v>296</v>
      </c>
      <c r="B46" s="81"/>
      <c r="C46" s="129"/>
      <c r="D46" s="73">
        <v>0</v>
      </c>
      <c r="E46" s="74"/>
      <c r="F46" s="73">
        <v>1500</v>
      </c>
      <c r="G46" s="74"/>
      <c r="H46" s="75">
        <f t="shared" ref="H46:H51" si="8">+D46+F46</f>
        <v>1500</v>
      </c>
      <c r="I46" s="74"/>
      <c r="J46" s="74"/>
      <c r="K46" s="75"/>
      <c r="L46" s="76"/>
      <c r="M46" s="34">
        <f t="shared" ref="M46:M51" si="9">H46-K46</f>
        <v>1500</v>
      </c>
    </row>
    <row r="47" spans="1:13" s="130" customFormat="1" ht="15" hidden="1" customHeight="1" x14ac:dyDescent="0.25">
      <c r="A47" s="35"/>
      <c r="B47" s="35"/>
      <c r="C47" s="129"/>
      <c r="D47" s="73">
        <v>0</v>
      </c>
      <c r="E47" s="74"/>
      <c r="F47" s="73"/>
      <c r="G47" s="74"/>
      <c r="H47" s="75">
        <f t="shared" si="8"/>
        <v>0</v>
      </c>
      <c r="I47" s="74"/>
      <c r="J47" s="74"/>
      <c r="K47" s="75"/>
      <c r="L47" s="76"/>
      <c r="M47" s="34">
        <f t="shared" si="9"/>
        <v>0</v>
      </c>
    </row>
    <row r="48" spans="1:13" s="130" customFormat="1" ht="15" hidden="1" customHeight="1" x14ac:dyDescent="0.25">
      <c r="A48" s="35"/>
      <c r="B48" s="35"/>
      <c r="C48" s="129"/>
      <c r="D48" s="73">
        <v>0</v>
      </c>
      <c r="E48" s="74"/>
      <c r="F48" s="73"/>
      <c r="G48" s="74"/>
      <c r="H48" s="75">
        <f t="shared" si="8"/>
        <v>0</v>
      </c>
      <c r="I48" s="74"/>
      <c r="J48" s="74"/>
      <c r="K48" s="75"/>
      <c r="L48" s="76"/>
      <c r="M48" s="34">
        <f t="shared" si="9"/>
        <v>0</v>
      </c>
    </row>
    <row r="49" spans="1:17" s="155" customFormat="1" ht="15" hidden="1" customHeight="1" x14ac:dyDescent="0.25">
      <c r="A49" s="149"/>
      <c r="B49" s="149"/>
      <c r="C49" s="150"/>
      <c r="D49" s="151"/>
      <c r="E49" s="152"/>
      <c r="F49" s="151"/>
      <c r="G49" s="152"/>
      <c r="H49" s="153">
        <f t="shared" si="8"/>
        <v>0</v>
      </c>
      <c r="I49" s="152"/>
      <c r="J49" s="152"/>
      <c r="K49" s="153"/>
      <c r="L49" s="154"/>
      <c r="M49" s="158">
        <f t="shared" si="9"/>
        <v>0</v>
      </c>
    </row>
    <row r="50" spans="1:17" s="130" customFormat="1" ht="15" hidden="1" customHeight="1" x14ac:dyDescent="0.25">
      <c r="A50" s="81"/>
      <c r="B50" s="81"/>
      <c r="C50" s="129"/>
      <c r="D50" s="73">
        <v>0</v>
      </c>
      <c r="E50" s="74"/>
      <c r="F50" s="73"/>
      <c r="G50" s="74"/>
      <c r="H50" s="75">
        <f t="shared" si="8"/>
        <v>0</v>
      </c>
      <c r="I50" s="74"/>
      <c r="J50" s="74"/>
      <c r="K50" s="75"/>
      <c r="L50" s="76"/>
      <c r="M50" s="34">
        <f t="shared" si="9"/>
        <v>0</v>
      </c>
    </row>
    <row r="51" spans="1:17" s="130" customFormat="1" ht="15" hidden="1" customHeight="1" x14ac:dyDescent="0.25">
      <c r="A51" s="81"/>
      <c r="B51" s="81"/>
      <c r="C51" s="129"/>
      <c r="D51" s="73">
        <v>0</v>
      </c>
      <c r="E51" s="74"/>
      <c r="F51" s="73"/>
      <c r="G51" s="74"/>
      <c r="H51" s="75">
        <f t="shared" si="8"/>
        <v>0</v>
      </c>
      <c r="I51" s="74"/>
      <c r="J51" s="74"/>
      <c r="K51" s="75"/>
      <c r="L51" s="76"/>
      <c r="M51" s="34">
        <f t="shared" si="9"/>
        <v>0</v>
      </c>
    </row>
    <row r="52" spans="1:17" s="130" customFormat="1" ht="15" hidden="1" customHeight="1" x14ac:dyDescent="0.25">
      <c r="A52" s="35"/>
      <c r="B52" s="35"/>
      <c r="C52" s="129"/>
      <c r="D52" s="73">
        <v>0</v>
      </c>
      <c r="E52" s="74"/>
      <c r="F52" s="73"/>
      <c r="G52" s="74"/>
      <c r="H52" s="75">
        <f t="shared" ref="H52:H57" si="10">+D52+F52</f>
        <v>0</v>
      </c>
      <c r="I52" s="74"/>
      <c r="J52" s="74"/>
      <c r="K52" s="75"/>
      <c r="L52" s="76"/>
      <c r="M52" s="34">
        <f t="shared" ref="M52:M58" si="11">H52-K52</f>
        <v>0</v>
      </c>
    </row>
    <row r="53" spans="1:17" s="130" customFormat="1" ht="15" hidden="1" customHeight="1" x14ac:dyDescent="0.25">
      <c r="A53" s="35"/>
      <c r="B53" s="35"/>
      <c r="C53" s="129"/>
      <c r="D53" s="73">
        <v>0</v>
      </c>
      <c r="E53" s="74"/>
      <c r="F53" s="73"/>
      <c r="G53" s="74"/>
      <c r="H53" s="75">
        <f t="shared" si="10"/>
        <v>0</v>
      </c>
      <c r="I53" s="74"/>
      <c r="J53" s="74"/>
      <c r="K53" s="75"/>
      <c r="L53" s="76"/>
      <c r="M53" s="34">
        <f t="shared" si="11"/>
        <v>0</v>
      </c>
    </row>
    <row r="54" spans="1:17" s="130" customFormat="1" ht="15" hidden="1" customHeight="1" x14ac:dyDescent="0.25">
      <c r="A54" s="81"/>
      <c r="B54" s="81"/>
      <c r="C54" s="129"/>
      <c r="D54" s="73">
        <v>0</v>
      </c>
      <c r="E54" s="74"/>
      <c r="F54" s="73"/>
      <c r="G54" s="74"/>
      <c r="H54" s="75">
        <f t="shared" si="10"/>
        <v>0</v>
      </c>
      <c r="I54" s="74"/>
      <c r="J54" s="74"/>
      <c r="K54" s="75"/>
      <c r="L54" s="76"/>
      <c r="M54" s="34">
        <f t="shared" si="11"/>
        <v>0</v>
      </c>
    </row>
    <row r="55" spans="1:17" s="130" customFormat="1" ht="15" hidden="1" customHeight="1" x14ac:dyDescent="0.25">
      <c r="A55" s="81"/>
      <c r="B55" s="81"/>
      <c r="C55" s="129"/>
      <c r="D55" s="73">
        <v>0</v>
      </c>
      <c r="E55" s="74"/>
      <c r="F55" s="73"/>
      <c r="G55" s="74"/>
      <c r="H55" s="75">
        <f t="shared" si="10"/>
        <v>0</v>
      </c>
      <c r="I55" s="74"/>
      <c r="J55" s="74"/>
      <c r="K55" s="75"/>
      <c r="L55" s="76"/>
      <c r="M55" s="34">
        <f t="shared" si="11"/>
        <v>0</v>
      </c>
    </row>
    <row r="56" spans="1:17" s="130" customFormat="1" ht="15" hidden="1" customHeight="1" x14ac:dyDescent="0.25">
      <c r="A56" s="81"/>
      <c r="B56" s="81"/>
      <c r="C56" s="129"/>
      <c r="D56" s="73"/>
      <c r="E56" s="74"/>
      <c r="F56" s="73"/>
      <c r="G56" s="74"/>
      <c r="H56" s="75">
        <f t="shared" si="10"/>
        <v>0</v>
      </c>
      <c r="I56" s="74"/>
      <c r="J56" s="74"/>
      <c r="K56" s="75"/>
      <c r="L56" s="76"/>
      <c r="M56" s="34">
        <f t="shared" si="11"/>
        <v>0</v>
      </c>
    </row>
    <row r="57" spans="1:17" s="130" customFormat="1" ht="15" hidden="1" customHeight="1" x14ac:dyDescent="0.25">
      <c r="A57" s="81"/>
      <c r="B57" s="81"/>
      <c r="C57" s="129"/>
      <c r="D57" s="73"/>
      <c r="E57" s="74"/>
      <c r="F57" s="73"/>
      <c r="G57" s="74"/>
      <c r="H57" s="75">
        <f t="shared" si="10"/>
        <v>0</v>
      </c>
      <c r="I57" s="74"/>
      <c r="J57" s="74"/>
      <c r="K57" s="75"/>
      <c r="L57" s="76"/>
      <c r="M57" s="34">
        <f t="shared" si="11"/>
        <v>0</v>
      </c>
    </row>
    <row r="58" spans="1:17" s="130" customFormat="1" ht="15" hidden="1" customHeight="1" x14ac:dyDescent="0.25">
      <c r="A58" s="81"/>
      <c r="B58" s="81"/>
      <c r="C58" s="129"/>
      <c r="D58" s="73"/>
      <c r="E58" s="74"/>
      <c r="F58" s="73"/>
      <c r="G58" s="74"/>
      <c r="H58" s="75"/>
      <c r="I58" s="74"/>
      <c r="J58" s="74"/>
      <c r="K58" s="75">
        <v>0</v>
      </c>
      <c r="L58" s="76"/>
      <c r="M58" s="34">
        <f t="shared" si="11"/>
        <v>0</v>
      </c>
    </row>
    <row r="59" spans="1:17" ht="15" customHeight="1" x14ac:dyDescent="0.25">
      <c r="A59" s="82" t="s">
        <v>44</v>
      </c>
      <c r="B59" s="82"/>
      <c r="D59" s="77">
        <f>SUM(D17:D57)</f>
        <v>208006</v>
      </c>
      <c r="E59" s="74"/>
      <c r="F59" s="77">
        <f>SUM(F17:F57)</f>
        <v>456260</v>
      </c>
      <c r="G59" s="74"/>
      <c r="H59" s="77">
        <f>SUM(H17:H57)</f>
        <v>664266</v>
      </c>
      <c r="I59" s="74"/>
      <c r="J59" s="77">
        <f>SUM(J17:J58)</f>
        <v>0</v>
      </c>
      <c r="K59" s="78">
        <f>SUM(K17:K58)</f>
        <v>482036.58000000007</v>
      </c>
      <c r="L59" s="74"/>
      <c r="M59" s="77">
        <f>SUM(M17:M58)</f>
        <v>182229.41999999998</v>
      </c>
      <c r="N59" s="47"/>
      <c r="Q59" s="45"/>
    </row>
    <row r="60" spans="1:17" x14ac:dyDescent="0.25">
      <c r="A60" s="82" t="s">
        <v>45</v>
      </c>
      <c r="B60" s="82"/>
      <c r="D60" s="77">
        <f>D15-D59</f>
        <v>41655.837499999994</v>
      </c>
      <c r="E60" s="74"/>
      <c r="F60" s="74"/>
      <c r="G60" s="74"/>
      <c r="H60" s="77">
        <f>H15-H59</f>
        <v>-19704.162499999977</v>
      </c>
      <c r="I60" s="74"/>
      <c r="J60" s="74"/>
      <c r="K60" s="76"/>
      <c r="L60" s="74"/>
      <c r="M60" s="159"/>
      <c r="N60" s="47"/>
    </row>
    <row r="61" spans="1:17" ht="15" customHeight="1" x14ac:dyDescent="0.25">
      <c r="K61" s="24"/>
    </row>
    <row r="62" spans="1:17" ht="15" customHeight="1" x14ac:dyDescent="0.25">
      <c r="K62" s="24"/>
    </row>
    <row r="63" spans="1:17" ht="15" customHeight="1" x14ac:dyDescent="0.25">
      <c r="K63" s="24"/>
    </row>
    <row r="64" spans="1:17" ht="15" customHeight="1" x14ac:dyDescent="0.25"/>
    <row r="65" spans="3:13" ht="15" customHeight="1" x14ac:dyDescent="0.25"/>
    <row r="66" spans="3:13" ht="15" hidden="1" customHeight="1" x14ac:dyDescent="0.25"/>
    <row r="67" spans="3:13" ht="15" hidden="1" customHeight="1" x14ac:dyDescent="0.25"/>
    <row r="68" spans="3:13" ht="15" hidden="1" customHeight="1" x14ac:dyDescent="0.25"/>
    <row r="69" spans="3:13" ht="15" hidden="1" customHeight="1" x14ac:dyDescent="0.25"/>
    <row r="70" spans="3:13" x14ac:dyDescent="0.25">
      <c r="C70"/>
      <c r="E70"/>
      <c r="G70"/>
      <c r="H70"/>
      <c r="I70"/>
      <c r="J70"/>
      <c r="L70"/>
      <c r="M70" s="101"/>
    </row>
    <row r="71" spans="3:13" x14ac:dyDescent="0.25">
      <c r="C71"/>
      <c r="E71"/>
      <c r="G71"/>
      <c r="H71"/>
      <c r="I71"/>
      <c r="J71"/>
      <c r="L71"/>
      <c r="M71" s="101"/>
    </row>
    <row r="72" spans="3:13" x14ac:dyDescent="0.25">
      <c r="C72"/>
      <c r="E72"/>
      <c r="G72"/>
      <c r="H72"/>
      <c r="I72"/>
      <c r="J72"/>
      <c r="L72"/>
      <c r="M72" s="101"/>
    </row>
    <row r="73" spans="3:13" x14ac:dyDescent="0.25">
      <c r="C73"/>
      <c r="E73"/>
      <c r="G73"/>
      <c r="H73"/>
      <c r="I73"/>
      <c r="J73"/>
      <c r="L73"/>
      <c r="M73" s="101"/>
    </row>
    <row r="74" spans="3:13" x14ac:dyDescent="0.25">
      <c r="C74"/>
      <c r="E74"/>
      <c r="G74"/>
      <c r="H74"/>
      <c r="I74"/>
      <c r="J74"/>
      <c r="L74"/>
      <c r="M74" s="101"/>
    </row>
    <row r="75" spans="3:13" x14ac:dyDescent="0.25">
      <c r="C75"/>
      <c r="E75"/>
      <c r="G75"/>
      <c r="H75"/>
      <c r="I75"/>
      <c r="J75"/>
      <c r="L75"/>
      <c r="M75" s="101"/>
    </row>
    <row r="76" spans="3:13" x14ac:dyDescent="0.25">
      <c r="C76"/>
      <c r="E76"/>
      <c r="G76"/>
      <c r="H76"/>
      <c r="I76"/>
      <c r="J76"/>
      <c r="L76"/>
      <c r="M76" s="101"/>
    </row>
    <row r="77" spans="3:13" x14ac:dyDescent="0.25">
      <c r="C77"/>
      <c r="E77"/>
      <c r="G77"/>
      <c r="H77"/>
      <c r="I77"/>
      <c r="J77"/>
      <c r="L77"/>
      <c r="M77" s="101"/>
    </row>
    <row r="78" spans="3:13" x14ac:dyDescent="0.25">
      <c r="C78"/>
      <c r="E78"/>
      <c r="G78"/>
      <c r="H78"/>
      <c r="I78"/>
      <c r="J78"/>
      <c r="L78"/>
      <c r="M78" s="101"/>
    </row>
    <row r="79" spans="3:13" x14ac:dyDescent="0.25">
      <c r="C79"/>
      <c r="E79"/>
      <c r="G79"/>
      <c r="H79"/>
      <c r="I79"/>
      <c r="J79"/>
      <c r="L79"/>
      <c r="M79" s="101"/>
    </row>
    <row r="80" spans="3:13" x14ac:dyDescent="0.25">
      <c r="C80"/>
      <c r="E80"/>
      <c r="G80"/>
      <c r="H80"/>
      <c r="I80"/>
      <c r="J80"/>
      <c r="L80"/>
      <c r="M80" s="101"/>
    </row>
    <row r="81" spans="3:13" x14ac:dyDescent="0.25">
      <c r="C81"/>
      <c r="E81"/>
      <c r="G81"/>
      <c r="H81"/>
      <c r="I81"/>
      <c r="J81"/>
      <c r="L81"/>
      <c r="M81" s="101"/>
    </row>
    <row r="82" spans="3:13" x14ac:dyDescent="0.25">
      <c r="C82"/>
      <c r="E82"/>
      <c r="G82"/>
      <c r="H82"/>
      <c r="I82"/>
      <c r="J82"/>
      <c r="L82"/>
      <c r="M82" s="101"/>
    </row>
    <row r="83" spans="3:13" x14ac:dyDescent="0.25">
      <c r="C83"/>
      <c r="E83"/>
      <c r="G83"/>
      <c r="H83"/>
      <c r="I83"/>
      <c r="J83"/>
      <c r="L83"/>
      <c r="M83" s="101"/>
    </row>
    <row r="84" spans="3:13" x14ac:dyDescent="0.25">
      <c r="C84"/>
      <c r="E84"/>
      <c r="G84"/>
      <c r="H84"/>
      <c r="I84"/>
      <c r="J84"/>
      <c r="L84"/>
      <c r="M84" s="101"/>
    </row>
    <row r="85" spans="3:13" x14ac:dyDescent="0.25">
      <c r="C85"/>
      <c r="E85"/>
      <c r="G85"/>
      <c r="H85"/>
      <c r="I85"/>
      <c r="J85"/>
      <c r="L85"/>
      <c r="M85" s="101"/>
    </row>
    <row r="86" spans="3:13" x14ac:dyDescent="0.25">
      <c r="C86"/>
      <c r="E86"/>
      <c r="G86"/>
      <c r="H86"/>
      <c r="I86"/>
      <c r="J86"/>
      <c r="L86"/>
      <c r="M86" s="101"/>
    </row>
    <row r="87" spans="3:13" x14ac:dyDescent="0.25">
      <c r="C87"/>
      <c r="E87"/>
      <c r="G87"/>
      <c r="H87"/>
      <c r="I87"/>
      <c r="J87"/>
      <c r="L87"/>
      <c r="M87" s="101"/>
    </row>
    <row r="88" spans="3:13" x14ac:dyDescent="0.25">
      <c r="C88"/>
      <c r="E88"/>
      <c r="G88"/>
      <c r="H88"/>
      <c r="I88"/>
      <c r="J88"/>
      <c r="L88"/>
      <c r="M88" s="101"/>
    </row>
    <row r="89" spans="3:13" x14ac:dyDescent="0.25">
      <c r="C89"/>
      <c r="E89"/>
      <c r="G89"/>
      <c r="H89"/>
      <c r="I89"/>
      <c r="J89"/>
      <c r="L89"/>
      <c r="M89" s="101"/>
    </row>
    <row r="90" spans="3:13" x14ac:dyDescent="0.25">
      <c r="C90"/>
      <c r="E90"/>
      <c r="G90"/>
      <c r="H90"/>
      <c r="I90"/>
      <c r="J90"/>
      <c r="L90"/>
      <c r="M90" s="101"/>
    </row>
    <row r="91" spans="3:13" x14ac:dyDescent="0.25">
      <c r="C91"/>
      <c r="E91"/>
      <c r="G91"/>
      <c r="H91"/>
      <c r="I91"/>
      <c r="J91"/>
      <c r="L91"/>
      <c r="M91" s="101"/>
    </row>
  </sheetData>
  <mergeCells count="4">
    <mergeCell ref="A4:M4"/>
    <mergeCell ref="A1:M1"/>
    <mergeCell ref="A2:M2"/>
    <mergeCell ref="A3:M3"/>
  </mergeCells>
  <printOptions horizontalCentered="1"/>
  <pageMargins left="0.7" right="0.7" top="0.75" bottom="0.75" header="0.3" footer="0.3"/>
  <pageSetup scale="6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X52"/>
  <sheetViews>
    <sheetView zoomScaleNormal="100" workbookViewId="0">
      <selection activeCell="E23" sqref="E23"/>
    </sheetView>
  </sheetViews>
  <sheetFormatPr defaultRowHeight="15" x14ac:dyDescent="0.25"/>
  <cols>
    <col min="1" max="1" width="32.5703125" bestFit="1" customWidth="1"/>
    <col min="2" max="2" width="1.7109375" style="1" customWidth="1"/>
    <col min="3" max="3" width="10.5703125" bestFit="1" customWidth="1"/>
    <col min="4" max="4" width="1.7109375" style="1" customWidth="1"/>
    <col min="5" max="5" width="11.5703125" customWidth="1"/>
    <col min="6" max="6" width="12.42578125" hidden="1" customWidth="1"/>
    <col min="7" max="7" width="1.7109375" style="1" customWidth="1"/>
    <col min="8" max="8" width="11.7109375" style="4" bestFit="1" customWidth="1"/>
    <col min="9" max="9" width="1.7109375" style="1" customWidth="1"/>
    <col min="10" max="10" width="14" style="1" hidden="1" customWidth="1"/>
    <col min="11" max="11" width="14" style="4" customWidth="1"/>
    <col min="12" max="12" width="1.7109375" style="16" customWidth="1"/>
    <col min="13" max="13" width="10.140625" style="4" customWidth="1"/>
    <col min="15" max="15" width="11.5703125" style="4" customWidth="1"/>
  </cols>
  <sheetData>
    <row r="1" spans="1:15" ht="14.45" customHeight="1" x14ac:dyDescent="0.25">
      <c r="A1" s="255" t="s">
        <v>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5" ht="14.45" customHeight="1" x14ac:dyDescent="0.25">
      <c r="A2" s="255" t="s">
        <v>8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15" ht="14.45" customHeight="1" x14ac:dyDescent="0.25">
      <c r="A3" s="255" t="s">
        <v>49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5" ht="15" customHeight="1" x14ac:dyDescent="0.25">
      <c r="A4" s="255" t="str">
        <f>+'Allocation '!A3:U3</f>
        <v>As of June 30, 2020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</row>
    <row r="5" spans="1:15" ht="14.45" customHeight="1" x14ac:dyDescent="0.25">
      <c r="A5" s="2"/>
      <c r="B5" s="2"/>
      <c r="C5" s="2"/>
      <c r="D5" s="2"/>
      <c r="E5" s="2"/>
      <c r="F5" s="2"/>
      <c r="G5" s="67"/>
      <c r="H5" s="6"/>
      <c r="I5" s="67"/>
      <c r="J5" s="224"/>
      <c r="K5" s="6"/>
      <c r="L5" s="68"/>
      <c r="M5" s="6"/>
    </row>
    <row r="6" spans="1:15" ht="67.150000000000006" customHeight="1" thickBot="1" x14ac:dyDescent="0.3">
      <c r="A6" s="83" t="s">
        <v>3</v>
      </c>
      <c r="B6" s="84"/>
      <c r="C6" s="85" t="s">
        <v>4</v>
      </c>
      <c r="D6" s="86"/>
      <c r="E6" s="85" t="s">
        <v>5</v>
      </c>
      <c r="F6" s="85" t="s">
        <v>160</v>
      </c>
      <c r="G6" s="86"/>
      <c r="H6" s="87" t="s">
        <v>6</v>
      </c>
      <c r="I6" s="86"/>
      <c r="J6" s="88" t="s">
        <v>247</v>
      </c>
      <c r="K6" s="88" t="s">
        <v>249</v>
      </c>
      <c r="L6" s="89"/>
      <c r="M6" s="87" t="s">
        <v>51</v>
      </c>
      <c r="N6" s="90"/>
    </row>
    <row r="7" spans="1:15" ht="14.45" customHeight="1" x14ac:dyDescent="0.25">
      <c r="A7" s="90" t="s">
        <v>17</v>
      </c>
      <c r="B7" s="91"/>
      <c r="C7" s="92">
        <f>+'Allocation '!M12</f>
        <v>150360.80000000002</v>
      </c>
      <c r="D7" s="93"/>
      <c r="E7" s="92">
        <v>0</v>
      </c>
      <c r="F7" s="92"/>
      <c r="G7" s="93"/>
      <c r="H7" s="94">
        <f>+C7+E7</f>
        <v>150360.80000000002</v>
      </c>
      <c r="I7" s="93"/>
      <c r="J7" s="93">
        <v>0</v>
      </c>
      <c r="K7" s="94">
        <v>0</v>
      </c>
      <c r="L7" s="95"/>
      <c r="M7" s="94">
        <f>H7-K7</f>
        <v>150360.80000000002</v>
      </c>
      <c r="N7" s="90"/>
    </row>
    <row r="8" spans="1:15" ht="14.45" hidden="1" customHeight="1" x14ac:dyDescent="0.25">
      <c r="A8" s="90" t="s">
        <v>237</v>
      </c>
      <c r="B8" s="91"/>
      <c r="C8" s="92"/>
      <c r="D8" s="93"/>
      <c r="E8" s="92">
        <v>0</v>
      </c>
      <c r="F8" s="92"/>
      <c r="G8" s="93"/>
      <c r="H8" s="94">
        <f>+C8+E8</f>
        <v>0</v>
      </c>
      <c r="I8" s="93"/>
      <c r="J8" s="93"/>
      <c r="K8" s="94">
        <v>0</v>
      </c>
      <c r="L8" s="95"/>
      <c r="M8" s="94">
        <f>H8-K8</f>
        <v>0</v>
      </c>
      <c r="N8" s="90"/>
    </row>
    <row r="9" spans="1:15" ht="14.45" customHeight="1" x14ac:dyDescent="0.25">
      <c r="A9" s="90" t="s">
        <v>18</v>
      </c>
      <c r="B9" s="91"/>
      <c r="C9" s="92">
        <f>+'Allocation '!M16</f>
        <v>101781.48600000002</v>
      </c>
      <c r="D9" s="93"/>
      <c r="E9" s="92">
        <v>0</v>
      </c>
      <c r="F9" s="92"/>
      <c r="G9" s="93"/>
      <c r="H9" s="94">
        <f>+C9+E9</f>
        <v>101781.48600000002</v>
      </c>
      <c r="I9" s="93"/>
      <c r="J9" s="93">
        <v>0</v>
      </c>
      <c r="K9" s="94">
        <v>0</v>
      </c>
      <c r="L9" s="95"/>
      <c r="M9" s="94">
        <f>H9-K9</f>
        <v>101781.48600000002</v>
      </c>
      <c r="N9" s="90"/>
    </row>
    <row r="10" spans="1:15" hidden="1" x14ac:dyDescent="0.25">
      <c r="A10" s="90" t="s">
        <v>22</v>
      </c>
      <c r="B10" s="91"/>
      <c r="C10" s="92">
        <v>0</v>
      </c>
      <c r="D10" s="93"/>
      <c r="E10" s="92">
        <v>0</v>
      </c>
      <c r="F10" s="92"/>
      <c r="G10" s="93"/>
      <c r="H10" s="94">
        <f>+C10+E10</f>
        <v>0</v>
      </c>
      <c r="I10" s="93"/>
      <c r="J10" s="93"/>
      <c r="K10" s="94">
        <v>0</v>
      </c>
      <c r="L10" s="95"/>
      <c r="M10" s="94">
        <f>H10-K10</f>
        <v>0</v>
      </c>
      <c r="N10" s="90"/>
    </row>
    <row r="11" spans="1:15" x14ac:dyDescent="0.25">
      <c r="A11" s="96" t="s">
        <v>23</v>
      </c>
      <c r="B11" s="91"/>
      <c r="C11" s="97">
        <f>SUM(C7:C9)</f>
        <v>252142.28600000002</v>
      </c>
      <c r="D11" s="93"/>
      <c r="E11" s="97">
        <f>SUM(E7:E10)</f>
        <v>0</v>
      </c>
      <c r="F11" s="97">
        <f>SUM(F7:F10)</f>
        <v>0</v>
      </c>
      <c r="G11" s="93"/>
      <c r="H11" s="98">
        <f>SUM(H7:H10)</f>
        <v>252142.28600000002</v>
      </c>
      <c r="I11" s="93"/>
      <c r="J11" s="98">
        <f>SUM(J7:J9)</f>
        <v>0</v>
      </c>
      <c r="K11" s="98">
        <f>SUM(K7:K9)</f>
        <v>0</v>
      </c>
      <c r="L11" s="95"/>
      <c r="M11" s="98">
        <f>SUM(M7:M10)</f>
        <v>252142.28600000002</v>
      </c>
      <c r="N11" s="90"/>
    </row>
    <row r="12" spans="1:15" hidden="1" x14ac:dyDescent="0.25">
      <c r="A12" s="99" t="s">
        <v>22</v>
      </c>
      <c r="B12" s="91"/>
      <c r="C12" s="93">
        <v>0</v>
      </c>
      <c r="D12" s="93"/>
      <c r="E12" s="93">
        <v>0</v>
      </c>
      <c r="F12" s="93"/>
      <c r="G12" s="93"/>
      <c r="H12" s="95">
        <f>+C12+E12</f>
        <v>0</v>
      </c>
      <c r="I12" s="93"/>
      <c r="J12" s="93"/>
      <c r="K12" s="95">
        <v>0</v>
      </c>
      <c r="L12" s="95"/>
      <c r="M12" s="94">
        <f>H12-K12</f>
        <v>0</v>
      </c>
      <c r="N12" s="90"/>
    </row>
    <row r="13" spans="1:15" hidden="1" x14ac:dyDescent="0.25">
      <c r="A13" s="96" t="s">
        <v>52</v>
      </c>
      <c r="B13" s="91"/>
      <c r="C13" s="97">
        <f>+C12+C11</f>
        <v>252142.28600000002</v>
      </c>
      <c r="D13" s="93"/>
      <c r="E13" s="97">
        <f>+E12+E11</f>
        <v>0</v>
      </c>
      <c r="F13" s="93"/>
      <c r="G13" s="93"/>
      <c r="H13" s="97">
        <f>+H12+H11</f>
        <v>252142.28600000002</v>
      </c>
      <c r="I13" s="93"/>
      <c r="J13" s="93"/>
      <c r="K13" s="97">
        <f>+K12+K11</f>
        <v>0</v>
      </c>
      <c r="L13" s="95"/>
      <c r="M13" s="97">
        <f>+M12+M11</f>
        <v>252142.28600000002</v>
      </c>
      <c r="N13" s="90"/>
    </row>
    <row r="14" spans="1:15" x14ac:dyDescent="0.25">
      <c r="A14" s="90"/>
      <c r="B14" s="91"/>
      <c r="C14" s="92"/>
      <c r="D14" s="93"/>
      <c r="E14" s="92"/>
      <c r="F14" s="92"/>
      <c r="G14" s="93"/>
      <c r="H14" s="94"/>
      <c r="I14" s="93"/>
      <c r="J14" s="93"/>
      <c r="K14" s="94"/>
      <c r="L14" s="95"/>
      <c r="M14" s="94"/>
      <c r="N14" s="90"/>
    </row>
    <row r="15" spans="1:15" ht="15.75" x14ac:dyDescent="0.25">
      <c r="A15" s="79" t="s">
        <v>24</v>
      </c>
      <c r="B15" s="91"/>
      <c r="C15" s="92">
        <v>24800</v>
      </c>
      <c r="D15" s="93"/>
      <c r="E15" s="94">
        <v>0</v>
      </c>
      <c r="F15" s="94"/>
      <c r="G15" s="93"/>
      <c r="H15" s="94">
        <f>+C15+E15+F15</f>
        <v>24800</v>
      </c>
      <c r="I15" s="93"/>
      <c r="J15" s="93">
        <v>0</v>
      </c>
      <c r="K15" s="94">
        <v>24800</v>
      </c>
      <c r="L15" s="95"/>
      <c r="M15" s="94">
        <f>H15-J15-K15</f>
        <v>0</v>
      </c>
      <c r="N15" s="90"/>
      <c r="O15" s="250"/>
    </row>
    <row r="16" spans="1:15" ht="15.75" x14ac:dyDescent="0.25">
      <c r="A16" s="79" t="s">
        <v>53</v>
      </c>
      <c r="B16" s="91"/>
      <c r="C16" s="92">
        <v>0</v>
      </c>
      <c r="D16" s="93"/>
      <c r="E16" s="160">
        <f>35000-5000</f>
        <v>30000</v>
      </c>
      <c r="F16" s="160">
        <v>0</v>
      </c>
      <c r="G16" s="93"/>
      <c r="H16" s="94">
        <f t="shared" ref="H16:H36" si="0">+C16+E16+F16</f>
        <v>30000</v>
      </c>
      <c r="I16" s="93"/>
      <c r="J16" s="93">
        <v>0</v>
      </c>
      <c r="K16" s="94">
        <v>16800</v>
      </c>
      <c r="L16" s="95"/>
      <c r="M16" s="94">
        <f t="shared" ref="M16:M36" si="1">H16-J16-K16</f>
        <v>13200</v>
      </c>
      <c r="N16" s="90"/>
      <c r="O16" s="252"/>
    </row>
    <row r="17" spans="1:24" ht="15.75" x14ac:dyDescent="0.25">
      <c r="A17" s="79" t="s">
        <v>54</v>
      </c>
      <c r="B17" s="91"/>
      <c r="C17" s="92">
        <v>0</v>
      </c>
      <c r="D17" s="93"/>
      <c r="E17" s="160">
        <v>25</v>
      </c>
      <c r="F17" s="160">
        <v>0</v>
      </c>
      <c r="G17" s="93"/>
      <c r="H17" s="94">
        <f t="shared" si="0"/>
        <v>25</v>
      </c>
      <c r="I17" s="93"/>
      <c r="J17" s="93">
        <v>0</v>
      </c>
      <c r="K17" s="94">
        <v>0</v>
      </c>
      <c r="L17" s="95"/>
      <c r="M17" s="94">
        <f t="shared" si="1"/>
        <v>25</v>
      </c>
      <c r="N17" s="90"/>
      <c r="O17" s="252"/>
    </row>
    <row r="18" spans="1:24" ht="15.75" x14ac:dyDescent="0.25">
      <c r="A18" s="79" t="s">
        <v>55</v>
      </c>
      <c r="B18" s="91"/>
      <c r="C18" s="92">
        <v>0</v>
      </c>
      <c r="D18" s="93"/>
      <c r="E18" s="160">
        <f>30000-14848</f>
        <v>15152</v>
      </c>
      <c r="F18" s="160">
        <v>0</v>
      </c>
      <c r="G18" s="93"/>
      <c r="H18" s="94">
        <f t="shared" si="0"/>
        <v>15152</v>
      </c>
      <c r="I18" s="93"/>
      <c r="J18" s="93">
        <v>0</v>
      </c>
      <c r="K18" s="94">
        <v>10246</v>
      </c>
      <c r="L18" s="95"/>
      <c r="M18" s="94">
        <f t="shared" si="1"/>
        <v>4906</v>
      </c>
      <c r="N18" s="90"/>
      <c r="O18" s="252"/>
    </row>
    <row r="19" spans="1:24" ht="15.75" x14ac:dyDescent="0.25">
      <c r="A19" s="79" t="s">
        <v>56</v>
      </c>
      <c r="B19" s="91"/>
      <c r="C19" s="92">
        <v>0</v>
      </c>
      <c r="D19" s="93"/>
      <c r="E19" s="160">
        <f>4065+3500</f>
        <v>7565</v>
      </c>
      <c r="F19" s="160">
        <v>0</v>
      </c>
      <c r="G19" s="93"/>
      <c r="H19" s="94">
        <f t="shared" si="0"/>
        <v>7565</v>
      </c>
      <c r="I19" s="93"/>
      <c r="J19" s="93">
        <v>0</v>
      </c>
      <c r="K19" s="94">
        <v>7156</v>
      </c>
      <c r="L19" s="95"/>
      <c r="M19" s="94">
        <f t="shared" si="1"/>
        <v>409</v>
      </c>
      <c r="N19" s="90"/>
      <c r="O19" s="252"/>
    </row>
    <row r="20" spans="1:24" ht="15.75" x14ac:dyDescent="0.25">
      <c r="A20" s="79" t="s">
        <v>240</v>
      </c>
      <c r="B20" s="91"/>
      <c r="C20" s="92">
        <v>0</v>
      </c>
      <c r="D20" s="93"/>
      <c r="E20" s="160">
        <v>4500</v>
      </c>
      <c r="F20" s="160"/>
      <c r="G20" s="93"/>
      <c r="H20" s="94">
        <f t="shared" si="0"/>
        <v>4500</v>
      </c>
      <c r="I20" s="93"/>
      <c r="J20" s="93">
        <v>0</v>
      </c>
      <c r="K20" s="94">
        <v>4457</v>
      </c>
      <c r="L20" s="95"/>
      <c r="M20" s="94">
        <f t="shared" si="1"/>
        <v>43</v>
      </c>
      <c r="N20" s="90"/>
      <c r="O20" s="252"/>
    </row>
    <row r="21" spans="1:24" ht="15.75" x14ac:dyDescent="0.25">
      <c r="A21" s="79" t="s">
        <v>57</v>
      </c>
      <c r="B21" s="91"/>
      <c r="C21" s="92">
        <v>0</v>
      </c>
      <c r="D21" s="93"/>
      <c r="E21" s="161">
        <v>3000</v>
      </c>
      <c r="F21" s="161">
        <v>0</v>
      </c>
      <c r="G21" s="93"/>
      <c r="H21" s="94">
        <f t="shared" si="0"/>
        <v>3000</v>
      </c>
      <c r="I21" s="93"/>
      <c r="J21" s="93">
        <v>0</v>
      </c>
      <c r="K21" s="94">
        <v>456.8</v>
      </c>
      <c r="L21" s="95"/>
      <c r="M21" s="94">
        <f t="shared" si="1"/>
        <v>2543.1999999999998</v>
      </c>
      <c r="N21" s="90"/>
      <c r="O21" s="252"/>
    </row>
    <row r="22" spans="1:24" ht="15.75" x14ac:dyDescent="0.25">
      <c r="A22" s="79" t="s">
        <v>58</v>
      </c>
      <c r="B22" s="91"/>
      <c r="C22" s="92">
        <v>0</v>
      </c>
      <c r="D22" s="93"/>
      <c r="E22" s="161">
        <f>45000+15084+1877</f>
        <v>61961</v>
      </c>
      <c r="F22" s="161">
        <v>0</v>
      </c>
      <c r="G22" s="93"/>
      <c r="H22" s="94">
        <f t="shared" si="0"/>
        <v>61961</v>
      </c>
      <c r="I22" s="93"/>
      <c r="J22" s="93">
        <v>0</v>
      </c>
      <c r="K22" s="94">
        <v>85162</v>
      </c>
      <c r="L22" s="95"/>
      <c r="M22" s="94">
        <f t="shared" si="1"/>
        <v>-23201</v>
      </c>
      <c r="N22" s="90"/>
      <c r="O22" s="252"/>
      <c r="X22" s="94"/>
    </row>
    <row r="23" spans="1:24" ht="15.75" x14ac:dyDescent="0.25">
      <c r="A23" s="102" t="s">
        <v>59</v>
      </c>
      <c r="B23" s="103"/>
      <c r="C23" s="94">
        <v>0</v>
      </c>
      <c r="D23" s="95"/>
      <c r="E23" s="94">
        <v>6000</v>
      </c>
      <c r="F23" s="94">
        <v>0</v>
      </c>
      <c r="G23" s="93"/>
      <c r="H23" s="94">
        <f t="shared" si="0"/>
        <v>6000</v>
      </c>
      <c r="I23" s="93"/>
      <c r="J23" s="93">
        <v>0</v>
      </c>
      <c r="K23" s="94">
        <v>3650.86</v>
      </c>
      <c r="L23" s="95"/>
      <c r="M23" s="94">
        <f t="shared" si="1"/>
        <v>2349.14</v>
      </c>
      <c r="N23" s="90"/>
      <c r="O23" s="252"/>
      <c r="U23" t="s">
        <v>60</v>
      </c>
    </row>
    <row r="24" spans="1:24" ht="15.75" x14ac:dyDescent="0.25">
      <c r="A24" s="79" t="s">
        <v>61</v>
      </c>
      <c r="B24" s="91"/>
      <c r="C24" s="92">
        <v>0</v>
      </c>
      <c r="D24" s="93"/>
      <c r="E24" s="161">
        <f>10000-3000</f>
        <v>7000</v>
      </c>
      <c r="F24" s="161">
        <v>0</v>
      </c>
      <c r="G24" s="93"/>
      <c r="H24" s="94">
        <f t="shared" si="0"/>
        <v>7000</v>
      </c>
      <c r="I24" s="93"/>
      <c r="J24" s="93">
        <v>0</v>
      </c>
      <c r="K24" s="94">
        <v>4433</v>
      </c>
      <c r="L24" s="95"/>
      <c r="M24" s="94">
        <f t="shared" si="1"/>
        <v>2567</v>
      </c>
      <c r="N24" s="90"/>
      <c r="O24" s="250"/>
      <c r="P24" s="4"/>
      <c r="Q24" s="250"/>
    </row>
    <row r="25" spans="1:24" ht="15.75" x14ac:dyDescent="0.25">
      <c r="A25" s="79" t="s">
        <v>62</v>
      </c>
      <c r="B25" s="91"/>
      <c r="C25" s="92">
        <v>0</v>
      </c>
      <c r="D25" s="93"/>
      <c r="E25" s="161">
        <f>6000-3000</f>
        <v>3000</v>
      </c>
      <c r="F25" s="161">
        <v>0</v>
      </c>
      <c r="G25" s="93"/>
      <c r="H25" s="94">
        <f t="shared" si="0"/>
        <v>3000</v>
      </c>
      <c r="I25" s="93"/>
      <c r="J25" s="93">
        <v>0</v>
      </c>
      <c r="K25" s="94">
        <f>1477+450</f>
        <v>1927</v>
      </c>
      <c r="L25" s="95"/>
      <c r="M25" s="94">
        <f t="shared" si="1"/>
        <v>1073</v>
      </c>
      <c r="N25" s="90"/>
      <c r="O25" s="250"/>
    </row>
    <row r="26" spans="1:24" ht="14.45" customHeight="1" x14ac:dyDescent="0.25">
      <c r="A26" s="79" t="s">
        <v>63</v>
      </c>
      <c r="B26" s="91"/>
      <c r="C26" s="92">
        <v>0</v>
      </c>
      <c r="D26" s="93"/>
      <c r="E26" s="161">
        <v>7000</v>
      </c>
      <c r="F26" s="161">
        <v>0</v>
      </c>
      <c r="G26" s="93"/>
      <c r="H26" s="94">
        <f t="shared" si="0"/>
        <v>7000</v>
      </c>
      <c r="I26" s="93"/>
      <c r="J26" s="93">
        <v>0</v>
      </c>
      <c r="K26" s="94">
        <f>4200+256</f>
        <v>4456</v>
      </c>
      <c r="L26" s="95"/>
      <c r="M26" s="94">
        <f t="shared" si="1"/>
        <v>2544</v>
      </c>
      <c r="N26" s="90"/>
      <c r="O26" s="250"/>
    </row>
    <row r="27" spans="1:24" ht="14.45" customHeight="1" x14ac:dyDescent="0.25">
      <c r="A27" s="79" t="s">
        <v>64</v>
      </c>
      <c r="B27" s="91"/>
      <c r="C27" s="92">
        <v>0</v>
      </c>
      <c r="D27" s="93"/>
      <c r="E27" s="161">
        <v>6000</v>
      </c>
      <c r="F27" s="161">
        <v>0</v>
      </c>
      <c r="G27" s="93"/>
      <c r="H27" s="94">
        <f t="shared" si="0"/>
        <v>6000</v>
      </c>
      <c r="I27" s="93"/>
      <c r="J27" s="93">
        <v>0</v>
      </c>
      <c r="K27" s="94">
        <v>4054.25</v>
      </c>
      <c r="L27" s="95"/>
      <c r="M27" s="94">
        <f t="shared" si="1"/>
        <v>1945.75</v>
      </c>
      <c r="N27" s="90"/>
      <c r="O27" s="250"/>
    </row>
    <row r="28" spans="1:24" ht="14.45" customHeight="1" x14ac:dyDescent="0.25">
      <c r="A28" s="79" t="s">
        <v>65</v>
      </c>
      <c r="B28" s="91"/>
      <c r="C28" s="92">
        <v>0</v>
      </c>
      <c r="D28" s="93"/>
      <c r="E28" s="161">
        <v>40000</v>
      </c>
      <c r="F28" s="161">
        <v>0</v>
      </c>
      <c r="G28" s="93"/>
      <c r="H28" s="94">
        <f t="shared" si="0"/>
        <v>40000</v>
      </c>
      <c r="I28" s="93"/>
      <c r="J28" s="93">
        <v>0</v>
      </c>
      <c r="K28" s="94">
        <v>40475</v>
      </c>
      <c r="L28" s="95"/>
      <c r="M28" s="94">
        <f t="shared" si="1"/>
        <v>-475</v>
      </c>
      <c r="N28" s="90"/>
      <c r="O28" s="252"/>
    </row>
    <row r="29" spans="1:24" ht="14.45" customHeight="1" x14ac:dyDescent="0.25">
      <c r="A29" s="79" t="s">
        <v>66</v>
      </c>
      <c r="B29" s="91"/>
      <c r="C29" s="92">
        <v>0</v>
      </c>
      <c r="D29" s="93"/>
      <c r="E29" s="161">
        <f>2000+2000</f>
        <v>4000</v>
      </c>
      <c r="F29" s="161">
        <v>0</v>
      </c>
      <c r="G29" s="93"/>
      <c r="H29" s="94">
        <f t="shared" si="0"/>
        <v>4000</v>
      </c>
      <c r="I29" s="93"/>
      <c r="J29" s="93">
        <v>0</v>
      </c>
      <c r="K29" s="94">
        <v>3640</v>
      </c>
      <c r="L29" s="95"/>
      <c r="M29" s="94">
        <f t="shared" si="1"/>
        <v>360</v>
      </c>
      <c r="N29" s="90"/>
      <c r="O29" s="252"/>
    </row>
    <row r="30" spans="1:24" ht="14.45" customHeight="1" x14ac:dyDescent="0.25">
      <c r="A30" s="79" t="s">
        <v>145</v>
      </c>
      <c r="B30" s="91"/>
      <c r="C30" s="92">
        <v>0</v>
      </c>
      <c r="D30" s="93"/>
      <c r="E30" s="161">
        <f>6000-4000</f>
        <v>2000</v>
      </c>
      <c r="F30" s="161">
        <v>0</v>
      </c>
      <c r="G30" s="93"/>
      <c r="H30" s="94">
        <f t="shared" si="0"/>
        <v>2000</v>
      </c>
      <c r="I30" s="93"/>
      <c r="J30" s="93">
        <v>0</v>
      </c>
      <c r="K30" s="94">
        <v>141</v>
      </c>
      <c r="L30" s="95"/>
      <c r="M30" s="94">
        <f t="shared" si="1"/>
        <v>1859</v>
      </c>
      <c r="N30" s="90"/>
      <c r="O30" s="252"/>
    </row>
    <row r="31" spans="1:24" ht="15.75" x14ac:dyDescent="0.25">
      <c r="A31" s="79" t="s">
        <v>67</v>
      </c>
      <c r="B31" s="91"/>
      <c r="C31" s="92">
        <v>0</v>
      </c>
      <c r="D31" s="93"/>
      <c r="E31" s="161">
        <v>6000</v>
      </c>
      <c r="F31" s="161">
        <v>0</v>
      </c>
      <c r="G31" s="93"/>
      <c r="H31" s="94">
        <f t="shared" si="0"/>
        <v>6000</v>
      </c>
      <c r="I31" s="93"/>
      <c r="J31" s="93">
        <v>0</v>
      </c>
      <c r="K31" s="94">
        <v>4309</v>
      </c>
      <c r="L31" s="95"/>
      <c r="M31" s="94">
        <f t="shared" si="1"/>
        <v>1691</v>
      </c>
      <c r="N31" s="90"/>
      <c r="O31" s="250"/>
    </row>
    <row r="32" spans="1:24" ht="15.75" x14ac:dyDescent="0.25">
      <c r="A32" s="79" t="s">
        <v>68</v>
      </c>
      <c r="B32" s="91"/>
      <c r="C32" s="92">
        <v>0</v>
      </c>
      <c r="D32" s="93"/>
      <c r="E32" s="161">
        <f>4779+504+356</f>
        <v>5639</v>
      </c>
      <c r="F32" s="161">
        <v>0</v>
      </c>
      <c r="G32" s="93"/>
      <c r="H32" s="94">
        <f t="shared" si="0"/>
        <v>5639</v>
      </c>
      <c r="I32" s="93"/>
      <c r="J32" s="93">
        <v>0</v>
      </c>
      <c r="K32" s="94">
        <f>4475.67+716.67</f>
        <v>5192.34</v>
      </c>
      <c r="L32" s="95"/>
      <c r="M32" s="94">
        <f t="shared" si="1"/>
        <v>446.65999999999985</v>
      </c>
      <c r="N32" s="90"/>
      <c r="O32" s="250"/>
    </row>
    <row r="33" spans="1:16" ht="15.75" x14ac:dyDescent="0.25">
      <c r="A33" s="79" t="s">
        <v>69</v>
      </c>
      <c r="B33" s="91"/>
      <c r="C33" s="92">
        <v>0</v>
      </c>
      <c r="D33" s="93"/>
      <c r="E33" s="161">
        <f>12500-10000</f>
        <v>2500</v>
      </c>
      <c r="F33" s="161">
        <v>0</v>
      </c>
      <c r="G33" s="93"/>
      <c r="H33" s="94">
        <f t="shared" si="0"/>
        <v>2500</v>
      </c>
      <c r="I33" s="93"/>
      <c r="J33" s="93">
        <v>0</v>
      </c>
      <c r="K33" s="94">
        <f>148.5+209.44</f>
        <v>357.94</v>
      </c>
      <c r="L33" s="95"/>
      <c r="M33" s="94">
        <f t="shared" si="1"/>
        <v>2142.06</v>
      </c>
      <c r="N33" s="90"/>
      <c r="O33" s="250"/>
      <c r="P33" s="94"/>
    </row>
    <row r="34" spans="1:16" ht="15.75" x14ac:dyDescent="0.25">
      <c r="A34" s="79" t="s">
        <v>150</v>
      </c>
      <c r="B34" s="91"/>
      <c r="C34" s="92">
        <v>0</v>
      </c>
      <c r="D34" s="93"/>
      <c r="E34" s="161">
        <v>1000</v>
      </c>
      <c r="F34" s="161">
        <v>0</v>
      </c>
      <c r="G34" s="93"/>
      <c r="H34" s="94">
        <f t="shared" si="0"/>
        <v>1000</v>
      </c>
      <c r="I34" s="93"/>
      <c r="J34" s="93">
        <v>0</v>
      </c>
      <c r="K34" s="94">
        <v>675</v>
      </c>
      <c r="L34" s="95"/>
      <c r="M34" s="94">
        <f t="shared" si="1"/>
        <v>325</v>
      </c>
      <c r="N34" s="90"/>
      <c r="O34" s="250"/>
    </row>
    <row r="35" spans="1:16" ht="15.75" x14ac:dyDescent="0.25">
      <c r="A35" s="79" t="s">
        <v>144</v>
      </c>
      <c r="B35" s="91"/>
      <c r="C35" s="92">
        <v>0</v>
      </c>
      <c r="D35" s="93"/>
      <c r="E35" s="161">
        <v>12500</v>
      </c>
      <c r="F35" s="161">
        <v>0</v>
      </c>
      <c r="G35" s="93"/>
      <c r="H35" s="94">
        <f t="shared" si="0"/>
        <v>12500</v>
      </c>
      <c r="I35" s="93"/>
      <c r="J35" s="93">
        <v>0</v>
      </c>
      <c r="K35" s="94">
        <v>3852</v>
      </c>
      <c r="L35" s="95"/>
      <c r="M35" s="94">
        <f t="shared" si="1"/>
        <v>8648</v>
      </c>
      <c r="N35" s="90"/>
      <c r="O35" s="250"/>
    </row>
    <row r="36" spans="1:16" ht="15.75" x14ac:dyDescent="0.25">
      <c r="A36" s="79" t="s">
        <v>146</v>
      </c>
      <c r="B36" s="91"/>
      <c r="C36" s="92">
        <v>0</v>
      </c>
      <c r="D36" s="93"/>
      <c r="E36" s="161">
        <v>2500</v>
      </c>
      <c r="F36" s="161">
        <v>0</v>
      </c>
      <c r="G36" s="93"/>
      <c r="H36" s="94">
        <f t="shared" si="0"/>
        <v>2500</v>
      </c>
      <c r="I36" s="93"/>
      <c r="J36" s="93">
        <v>0</v>
      </c>
      <c r="K36" s="94">
        <f>522.58</f>
        <v>522.58000000000004</v>
      </c>
      <c r="L36" s="95"/>
      <c r="M36" s="94">
        <f t="shared" si="1"/>
        <v>1977.42</v>
      </c>
      <c r="N36" s="90"/>
      <c r="O36" s="250"/>
    </row>
    <row r="37" spans="1:16" ht="15.75" x14ac:dyDescent="0.25">
      <c r="A37" s="82" t="s">
        <v>44</v>
      </c>
      <c r="B37" s="91"/>
      <c r="C37" s="97">
        <f>SUM(C15:C36)</f>
        <v>24800</v>
      </c>
      <c r="D37" s="93"/>
      <c r="E37" s="97">
        <f>SUM(E15:E36)</f>
        <v>227342</v>
      </c>
      <c r="F37" s="97">
        <f>SUM(F15:F36)</f>
        <v>0</v>
      </c>
      <c r="G37" s="93"/>
      <c r="H37" s="97">
        <f>SUM(H15:H36)</f>
        <v>252142</v>
      </c>
      <c r="I37" s="93"/>
      <c r="J37" s="97">
        <f>SUM(J15:J36)</f>
        <v>0</v>
      </c>
      <c r="K37" s="98">
        <f>SUM(K15:K36)</f>
        <v>226763.76999999996</v>
      </c>
      <c r="L37" s="93"/>
      <c r="M37" s="97">
        <f>SUM(M15:M36)</f>
        <v>25378.229999999996</v>
      </c>
      <c r="N37" s="90"/>
      <c r="O37" s="250"/>
    </row>
    <row r="38" spans="1:16" ht="15.75" x14ac:dyDescent="0.25">
      <c r="A38" s="82" t="s">
        <v>45</v>
      </c>
      <c r="B38" s="91"/>
      <c r="C38" s="97">
        <f>C13-C37</f>
        <v>227342.28600000002</v>
      </c>
      <c r="D38" s="93"/>
      <c r="E38" s="93"/>
      <c r="F38" s="93"/>
      <c r="G38" s="93"/>
      <c r="H38" s="97">
        <f>H13-H37</f>
        <v>0.28600000002188608</v>
      </c>
      <c r="I38" s="93"/>
      <c r="J38" s="93"/>
      <c r="K38" s="93"/>
      <c r="L38" s="93"/>
      <c r="M38" s="93"/>
      <c r="N38" s="90"/>
      <c r="O38" s="250"/>
    </row>
    <row r="39" spans="1:16" ht="15.75" x14ac:dyDescent="0.25">
      <c r="A39" s="90"/>
      <c r="B39" s="91"/>
      <c r="C39" s="90"/>
      <c r="D39" s="91"/>
      <c r="E39" s="90"/>
      <c r="F39" s="90"/>
      <c r="G39" s="91"/>
      <c r="H39" s="104"/>
      <c r="I39" s="91"/>
      <c r="J39" s="91"/>
      <c r="K39" s="105"/>
      <c r="L39" s="103"/>
      <c r="M39" s="104"/>
      <c r="N39" s="90"/>
      <c r="O39" s="250"/>
    </row>
    <row r="40" spans="1:16" ht="15.75" x14ac:dyDescent="0.25">
      <c r="O40" s="250"/>
    </row>
    <row r="41" spans="1:16" ht="15.75" x14ac:dyDescent="0.25">
      <c r="O41" s="250"/>
    </row>
    <row r="42" spans="1:16" ht="15.75" x14ac:dyDescent="0.25">
      <c r="O42" s="250"/>
    </row>
    <row r="43" spans="1:16" ht="15.75" x14ac:dyDescent="0.25">
      <c r="O43" s="250"/>
    </row>
    <row r="44" spans="1:16" ht="15.75" x14ac:dyDescent="0.25">
      <c r="O44" s="250"/>
    </row>
    <row r="45" spans="1:16" ht="15.75" x14ac:dyDescent="0.25">
      <c r="O45" s="250"/>
    </row>
    <row r="46" spans="1:16" ht="15.75" x14ac:dyDescent="0.25">
      <c r="O46" s="250"/>
    </row>
    <row r="47" spans="1:16" ht="15.75" x14ac:dyDescent="0.25">
      <c r="O47" s="250"/>
    </row>
    <row r="48" spans="1:16" ht="15.75" x14ac:dyDescent="0.25">
      <c r="O48" s="250"/>
    </row>
    <row r="49" spans="15:15" ht="15.75" x14ac:dyDescent="0.25">
      <c r="O49" s="250"/>
    </row>
    <row r="50" spans="15:15" ht="15.75" x14ac:dyDescent="0.25">
      <c r="O50" s="250"/>
    </row>
    <row r="51" spans="15:15" ht="15.75" x14ac:dyDescent="0.25">
      <c r="O51" s="250"/>
    </row>
    <row r="52" spans="15:15" ht="15.75" x14ac:dyDescent="0.25">
      <c r="O52" s="250"/>
    </row>
  </sheetData>
  <mergeCells count="4">
    <mergeCell ref="A1:M1"/>
    <mergeCell ref="A2:M2"/>
    <mergeCell ref="A3:M3"/>
    <mergeCell ref="A4:M4"/>
  </mergeCells>
  <printOptions horizontalCentered="1"/>
  <pageMargins left="0.25" right="0.25" top="0.25" bottom="0.3" header="0.3" footer="0"/>
  <pageSetup scale="98" orientation="landscape" r:id="rId1"/>
  <headerFooter scaleWithDoc="0" alignWithMargins="0">
    <firstFooter>&amp;R
&amp;P&amp;N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15"/>
  <sheetViews>
    <sheetView zoomScaleNormal="100" workbookViewId="0">
      <selection activeCell="G13" sqref="G13"/>
    </sheetView>
  </sheetViews>
  <sheetFormatPr defaultRowHeight="15" x14ac:dyDescent="0.25"/>
  <cols>
    <col min="1" max="1" width="32.5703125" bestFit="1" customWidth="1"/>
    <col min="2" max="2" width="1.7109375" style="1" customWidth="1"/>
    <col min="3" max="3" width="10.5703125" bestFit="1" customWidth="1"/>
    <col min="4" max="4" width="1.7109375" style="1" customWidth="1"/>
    <col min="5" max="5" width="11.5703125" customWidth="1"/>
    <col min="6" max="6" width="1.7109375" style="1" customWidth="1"/>
    <col min="7" max="7" width="11.7109375" style="4" bestFit="1" customWidth="1"/>
    <col min="8" max="8" width="1.7109375" style="1" customWidth="1"/>
    <col min="9" max="9" width="14" style="4" customWidth="1"/>
    <col min="10" max="10" width="1.7109375" style="16" customWidth="1"/>
    <col min="11" max="11" width="10.140625" style="4" customWidth="1"/>
  </cols>
  <sheetData>
    <row r="1" spans="1:12" x14ac:dyDescent="0.25">
      <c r="A1" s="255" t="s">
        <v>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2" x14ac:dyDescent="0.25">
      <c r="A2" s="255" t="s">
        <v>9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</row>
    <row r="3" spans="1:12" x14ac:dyDescent="0.25">
      <c r="A3" s="255" t="s">
        <v>49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</row>
    <row r="4" spans="1:12" ht="15" customHeight="1" x14ac:dyDescent="0.25">
      <c r="A4" s="255" t="str">
        <f>+'Allocation '!A3:U3</f>
        <v>As of June 30, 2020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</row>
    <row r="5" spans="1:12" x14ac:dyDescent="0.25">
      <c r="A5" s="2"/>
      <c r="B5" s="2"/>
      <c r="C5" s="2"/>
      <c r="D5" s="2"/>
      <c r="E5" s="2"/>
      <c r="F5" s="67"/>
      <c r="G5" s="6"/>
      <c r="H5" s="67"/>
      <c r="I5" s="6"/>
      <c r="J5" s="68"/>
      <c r="K5" s="6"/>
    </row>
    <row r="6" spans="1:12" ht="65.25" thickBot="1" x14ac:dyDescent="0.3">
      <c r="A6" s="83" t="s">
        <v>3</v>
      </c>
      <c r="B6" s="84"/>
      <c r="C6" s="85" t="s">
        <v>4</v>
      </c>
      <c r="D6" s="86"/>
      <c r="E6" s="85" t="s">
        <v>5</v>
      </c>
      <c r="F6" s="86"/>
      <c r="G6" s="87" t="s">
        <v>6</v>
      </c>
      <c r="H6" s="86"/>
      <c r="I6" s="88" t="s">
        <v>50</v>
      </c>
      <c r="J6" s="89"/>
      <c r="K6" s="87" t="s">
        <v>51</v>
      </c>
      <c r="L6" s="90"/>
    </row>
    <row r="7" spans="1:12" x14ac:dyDescent="0.25">
      <c r="A7" s="90" t="s">
        <v>17</v>
      </c>
      <c r="B7" s="91"/>
      <c r="C7" s="92">
        <f>+'Allocation '!N12</f>
        <v>35628.5</v>
      </c>
      <c r="D7" s="93"/>
      <c r="E7" s="92">
        <v>0</v>
      </c>
      <c r="F7" s="93"/>
      <c r="G7" s="94">
        <f>+C7+E7</f>
        <v>35628.5</v>
      </c>
      <c r="H7" s="93"/>
      <c r="I7" s="94">
        <v>0</v>
      </c>
      <c r="J7" s="95"/>
      <c r="K7" s="94">
        <f>G7-I7</f>
        <v>35628.5</v>
      </c>
      <c r="L7" s="90"/>
    </row>
    <row r="8" spans="1:12" x14ac:dyDescent="0.25">
      <c r="A8" s="90" t="s">
        <v>18</v>
      </c>
      <c r="B8" s="91"/>
      <c r="C8" s="92">
        <f>+'Allocation '!N16</f>
        <v>24530.75</v>
      </c>
      <c r="D8" s="93"/>
      <c r="E8" s="92">
        <v>0</v>
      </c>
      <c r="F8" s="93"/>
      <c r="G8" s="94">
        <f>+C8+E8</f>
        <v>24530.75</v>
      </c>
      <c r="H8" s="93"/>
      <c r="I8" s="94">
        <v>0</v>
      </c>
      <c r="J8" s="95"/>
      <c r="K8" s="94">
        <f>G8-I8</f>
        <v>24530.75</v>
      </c>
      <c r="L8" s="90"/>
    </row>
    <row r="9" spans="1:12" x14ac:dyDescent="0.25">
      <c r="A9" s="96" t="s">
        <v>23</v>
      </c>
      <c r="B9" s="91"/>
      <c r="C9" s="97">
        <f>SUM(C7:C8)</f>
        <v>60159.25</v>
      </c>
      <c r="D9" s="93"/>
      <c r="E9" s="97">
        <f>SUM(E7:E8)</f>
        <v>0</v>
      </c>
      <c r="F9" s="93"/>
      <c r="G9" s="98">
        <f>SUM(G7:G8)</f>
        <v>60159.25</v>
      </c>
      <c r="H9" s="93"/>
      <c r="I9" s="98">
        <f>SUM(I7:I8)</f>
        <v>0</v>
      </c>
      <c r="J9" s="95"/>
      <c r="K9" s="98">
        <f>SUM(K7:K8)</f>
        <v>60159.25</v>
      </c>
      <c r="L9" s="90"/>
    </row>
    <row r="10" spans="1:12" x14ac:dyDescent="0.25">
      <c r="A10" s="90"/>
      <c r="B10" s="91"/>
      <c r="C10" s="92"/>
      <c r="D10" s="93"/>
      <c r="E10" s="92"/>
      <c r="F10" s="93"/>
      <c r="G10" s="94"/>
      <c r="H10" s="93"/>
      <c r="I10" s="94"/>
      <c r="J10" s="95"/>
      <c r="K10" s="94"/>
      <c r="L10" s="90"/>
    </row>
    <row r="11" spans="1:12" x14ac:dyDescent="0.25">
      <c r="A11" s="79" t="s">
        <v>24</v>
      </c>
      <c r="B11" s="91"/>
      <c r="C11" s="92">
        <v>6000</v>
      </c>
      <c r="D11" s="93"/>
      <c r="E11" s="92">
        <v>0</v>
      </c>
      <c r="F11" s="93"/>
      <c r="G11" s="94">
        <f>C11-E11</f>
        <v>6000</v>
      </c>
      <c r="H11" s="93"/>
      <c r="I11" s="94">
        <v>6000</v>
      </c>
      <c r="J11" s="95"/>
      <c r="K11" s="94">
        <f>G11-I11</f>
        <v>0</v>
      </c>
      <c r="L11" s="90"/>
    </row>
    <row r="12" spans="1:12" x14ac:dyDescent="0.25">
      <c r="A12" s="79" t="s">
        <v>70</v>
      </c>
      <c r="B12" s="91"/>
      <c r="C12" s="92">
        <v>0</v>
      </c>
      <c r="D12" s="93"/>
      <c r="E12" s="92">
        <v>0</v>
      </c>
      <c r="F12" s="93"/>
      <c r="G12" s="94">
        <v>54621</v>
      </c>
      <c r="H12" s="93"/>
      <c r="I12" s="94">
        <v>54621</v>
      </c>
      <c r="J12" s="95"/>
      <c r="K12" s="94">
        <f>G12-I12</f>
        <v>0</v>
      </c>
      <c r="L12" s="90"/>
    </row>
    <row r="13" spans="1:12" x14ac:dyDescent="0.25">
      <c r="A13" s="82" t="s">
        <v>44</v>
      </c>
      <c r="B13" s="91"/>
      <c r="C13" s="97">
        <f>SUM(C11:C12)</f>
        <v>6000</v>
      </c>
      <c r="D13" s="97"/>
      <c r="E13" s="97">
        <f>SUM(E11:E12)</f>
        <v>0</v>
      </c>
      <c r="F13" s="93"/>
      <c r="G13" s="97">
        <f>SUM(G11:G12)</f>
        <v>60621</v>
      </c>
      <c r="H13" s="93"/>
      <c r="I13" s="97">
        <f>SUM(I11:I12)</f>
        <v>60621</v>
      </c>
      <c r="J13" s="93"/>
      <c r="K13" s="97">
        <f>SUM(K11:K12)</f>
        <v>0</v>
      </c>
      <c r="L13" s="90"/>
    </row>
    <row r="14" spans="1:12" x14ac:dyDescent="0.25">
      <c r="A14" s="82" t="s">
        <v>45</v>
      </c>
      <c r="B14" s="91"/>
      <c r="C14" s="97">
        <f>C9-C13</f>
        <v>54159.25</v>
      </c>
      <c r="D14" s="97"/>
      <c r="E14" s="93"/>
      <c r="F14" s="93"/>
      <c r="G14" s="97">
        <f>G9-G13</f>
        <v>-461.75</v>
      </c>
      <c r="H14" s="93"/>
      <c r="I14" s="93"/>
      <c r="J14" s="93"/>
      <c r="K14" s="93"/>
      <c r="L14" s="90"/>
    </row>
    <row r="15" spans="1:12" x14ac:dyDescent="0.25">
      <c r="A15" s="90"/>
      <c r="B15" s="91"/>
      <c r="C15" s="90"/>
      <c r="D15" s="91"/>
      <c r="E15" s="90"/>
      <c r="F15" s="91"/>
      <c r="G15" s="104"/>
      <c r="H15" s="91"/>
      <c r="I15" s="104"/>
      <c r="J15" s="103"/>
      <c r="K15" s="104"/>
      <c r="L15" s="90"/>
    </row>
  </sheetData>
  <mergeCells count="4">
    <mergeCell ref="A1:K1"/>
    <mergeCell ref="A2:K2"/>
    <mergeCell ref="A3:K3"/>
    <mergeCell ref="A4:K4"/>
  </mergeCells>
  <printOptions horizontalCentered="1"/>
  <pageMargins left="0.25" right="0.25" top="0.25" bottom="0.3" header="0.3" footer="0"/>
  <pageSetup orientation="landscape" r:id="rId1"/>
  <headerFooter scaleWithDoc="0">
    <firstFooter>&amp;R
&amp;P&amp;N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22"/>
  <sheetViews>
    <sheetView zoomScaleNormal="100" workbookViewId="0">
      <selection activeCell="K12" sqref="K12"/>
    </sheetView>
  </sheetViews>
  <sheetFormatPr defaultRowHeight="15" x14ac:dyDescent="0.25"/>
  <cols>
    <col min="1" max="1" width="35.42578125" bestFit="1" customWidth="1"/>
    <col min="2" max="2" width="2.7109375" style="1" customWidth="1"/>
    <col min="3" max="3" width="10.5703125" bestFit="1" customWidth="1"/>
    <col min="4" max="4" width="1.7109375" style="1" customWidth="1"/>
    <col min="5" max="5" width="11.5703125" customWidth="1"/>
    <col min="6" max="6" width="1.7109375" style="1" customWidth="1"/>
    <col min="7" max="7" width="11.7109375" style="4" customWidth="1"/>
    <col min="8" max="8" width="1.7109375" style="1" customWidth="1"/>
    <col min="9" max="9" width="16.42578125" style="1" hidden="1" customWidth="1"/>
    <col min="10" max="10" width="1.7109375" style="1" hidden="1" customWidth="1"/>
    <col min="11" max="11" width="14" style="4" customWidth="1"/>
    <col min="12" max="12" width="1.7109375" style="16" customWidth="1"/>
    <col min="13" max="13" width="10.140625" style="4" customWidth="1"/>
    <col min="14" max="14" width="19.28515625" bestFit="1" customWidth="1"/>
  </cols>
  <sheetData>
    <row r="1" spans="1:15" x14ac:dyDescent="0.25">
      <c r="A1" s="255" t="s">
        <v>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5" x14ac:dyDescent="0.25">
      <c r="A2" s="255" t="s">
        <v>71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15" x14ac:dyDescent="0.25">
      <c r="A3" s="255" t="s">
        <v>72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5" ht="12.75" customHeight="1" x14ac:dyDescent="0.25">
      <c r="A4" s="255" t="str">
        <f>+'Allocation '!A3:U3</f>
        <v>As of June 30, 2020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</row>
    <row r="5" spans="1:15" x14ac:dyDescent="0.25">
      <c r="A5" s="2"/>
      <c r="B5" s="2"/>
      <c r="C5" s="2"/>
      <c r="D5" s="67"/>
      <c r="E5" s="2"/>
      <c r="F5" s="67"/>
      <c r="G5" s="6"/>
      <c r="H5" s="67"/>
      <c r="I5" s="245"/>
      <c r="J5" s="245"/>
      <c r="K5" s="6"/>
      <c r="L5" s="68"/>
      <c r="M5" s="6"/>
    </row>
    <row r="6" spans="1:15" ht="65.25" thickBot="1" x14ac:dyDescent="0.3">
      <c r="A6" s="83" t="s">
        <v>3</v>
      </c>
      <c r="B6" s="84"/>
      <c r="C6" s="85" t="s">
        <v>4</v>
      </c>
      <c r="D6" s="86"/>
      <c r="E6" s="85" t="s">
        <v>5</v>
      </c>
      <c r="F6" s="86"/>
      <c r="G6" s="87" t="s">
        <v>6</v>
      </c>
      <c r="H6" s="86"/>
      <c r="I6" s="85" t="s">
        <v>289</v>
      </c>
      <c r="J6" s="86"/>
      <c r="K6" s="88" t="s">
        <v>50</v>
      </c>
      <c r="L6" s="89"/>
      <c r="M6" s="87" t="s">
        <v>51</v>
      </c>
      <c r="N6" s="90"/>
    </row>
    <row r="7" spans="1:15" x14ac:dyDescent="0.25">
      <c r="A7" s="90" t="s">
        <v>17</v>
      </c>
      <c r="B7" s="91"/>
      <c r="C7" s="92">
        <f>+'Allocation '!O12</f>
        <v>26569.9</v>
      </c>
      <c r="D7" s="93"/>
      <c r="E7" s="92">
        <v>0</v>
      </c>
      <c r="F7" s="93"/>
      <c r="G7" s="94">
        <f>+C7+E7</f>
        <v>26569.9</v>
      </c>
      <c r="H7" s="93"/>
      <c r="I7" s="93"/>
      <c r="J7" s="93"/>
      <c r="K7" s="94">
        <v>6953</v>
      </c>
      <c r="L7" s="95"/>
      <c r="M7" s="94">
        <f>G7-K7</f>
        <v>19616.900000000001</v>
      </c>
      <c r="N7" s="90"/>
    </row>
    <row r="8" spans="1:15" x14ac:dyDescent="0.25">
      <c r="A8" s="90" t="s">
        <v>18</v>
      </c>
      <c r="B8" s="91"/>
      <c r="C8" s="92">
        <f>+'Allocation '!O16</f>
        <v>18044.748</v>
      </c>
      <c r="D8" s="93"/>
      <c r="E8" s="92">
        <v>0</v>
      </c>
      <c r="F8" s="93"/>
      <c r="G8" s="94">
        <f>+C8+E8-1</f>
        <v>18043.748</v>
      </c>
      <c r="H8" s="93"/>
      <c r="I8" s="93"/>
      <c r="J8" s="93"/>
      <c r="K8" s="94">
        <v>0</v>
      </c>
      <c r="L8" s="95"/>
      <c r="M8" s="94">
        <f>G8-K8</f>
        <v>18043.748</v>
      </c>
      <c r="N8" s="90"/>
    </row>
    <row r="9" spans="1:15" x14ac:dyDescent="0.25">
      <c r="A9" s="96" t="s">
        <v>23</v>
      </c>
      <c r="B9" s="91"/>
      <c r="C9" s="97">
        <f>SUM(C7:C8)</f>
        <v>44614.648000000001</v>
      </c>
      <c r="D9" s="93"/>
      <c r="E9" s="97">
        <f>SUM(E7:E8)</f>
        <v>0</v>
      </c>
      <c r="F9" s="93"/>
      <c r="G9" s="98">
        <f>SUM(G7:G8)</f>
        <v>44613.648000000001</v>
      </c>
      <c r="H9" s="93"/>
      <c r="I9" s="97"/>
      <c r="J9" s="93"/>
      <c r="K9" s="98">
        <f>SUM(K7:K8)</f>
        <v>6953</v>
      </c>
      <c r="L9" s="95"/>
      <c r="M9" s="98">
        <f>SUM(M7:M8)</f>
        <v>37660.648000000001</v>
      </c>
      <c r="N9" s="90"/>
    </row>
    <row r="10" spans="1:15" x14ac:dyDescent="0.25">
      <c r="A10" s="90"/>
      <c r="B10" s="91"/>
      <c r="C10" s="92"/>
      <c r="D10" s="93"/>
      <c r="E10" s="92"/>
      <c r="F10" s="93"/>
      <c r="G10" s="94"/>
      <c r="H10" s="93"/>
      <c r="I10" s="93"/>
      <c r="J10" s="93"/>
      <c r="K10" s="94"/>
      <c r="L10" s="95"/>
      <c r="M10" s="94"/>
      <c r="N10" s="90"/>
    </row>
    <row r="11" spans="1:15" x14ac:dyDescent="0.25">
      <c r="A11" s="79" t="s">
        <v>24</v>
      </c>
      <c r="B11" s="91"/>
      <c r="C11" s="92">
        <v>4400</v>
      </c>
      <c r="D11" s="93"/>
      <c r="E11" s="92">
        <v>0</v>
      </c>
      <c r="F11" s="93"/>
      <c r="G11" s="94">
        <f t="shared" ref="G11" si="0">C11+E11</f>
        <v>4400</v>
      </c>
      <c r="H11" s="93"/>
      <c r="I11" s="93"/>
      <c r="J11" s="93"/>
      <c r="K11" s="94">
        <v>4400</v>
      </c>
      <c r="L11" s="95"/>
      <c r="M11" s="94">
        <f t="shared" ref="M11" si="1">G11-K11</f>
        <v>0</v>
      </c>
      <c r="N11" s="90"/>
      <c r="O11" s="94"/>
    </row>
    <row r="12" spans="1:15" x14ac:dyDescent="0.25">
      <c r="A12" s="79" t="s">
        <v>284</v>
      </c>
      <c r="B12" s="91"/>
      <c r="C12" s="92"/>
      <c r="D12" s="93"/>
      <c r="E12" s="94">
        <v>478.17</v>
      </c>
      <c r="F12" s="93"/>
      <c r="G12" s="94">
        <f>+C12+E12</f>
        <v>478.17</v>
      </c>
      <c r="H12" s="93"/>
      <c r="I12" s="93"/>
      <c r="J12" s="93"/>
      <c r="K12" s="94">
        <v>478.17</v>
      </c>
      <c r="L12" s="95"/>
      <c r="M12" s="94">
        <f>+G12-K12</f>
        <v>0</v>
      </c>
      <c r="N12" s="90"/>
      <c r="O12" s="94"/>
    </row>
    <row r="13" spans="1:15" x14ac:dyDescent="0.25">
      <c r="A13" s="79" t="s">
        <v>285</v>
      </c>
      <c r="B13" s="91"/>
      <c r="C13" s="92"/>
      <c r="D13" s="93"/>
      <c r="E13" s="92">
        <v>2250</v>
      </c>
      <c r="F13" s="93"/>
      <c r="G13" s="94">
        <f t="shared" ref="G13:G18" si="2">+C13+E13</f>
        <v>2250</v>
      </c>
      <c r="H13" s="93"/>
      <c r="I13" s="93"/>
      <c r="J13" s="93"/>
      <c r="K13" s="94">
        <v>2250</v>
      </c>
      <c r="L13" s="95"/>
      <c r="M13" s="94">
        <f t="shared" ref="M13:M18" si="3">+G13-K13</f>
        <v>0</v>
      </c>
      <c r="N13" s="90"/>
      <c r="O13" s="94"/>
    </row>
    <row r="14" spans="1:15" x14ac:dyDescent="0.25">
      <c r="A14" s="79" t="s">
        <v>287</v>
      </c>
      <c r="B14" s="91"/>
      <c r="C14" s="92"/>
      <c r="D14" s="93"/>
      <c r="E14" s="94">
        <v>1200</v>
      </c>
      <c r="F14" s="93"/>
      <c r="G14" s="94">
        <f t="shared" si="2"/>
        <v>1200</v>
      </c>
      <c r="H14" s="93"/>
      <c r="I14" s="94">
        <v>0</v>
      </c>
      <c r="J14" s="93"/>
      <c r="K14" s="94">
        <v>1444</v>
      </c>
      <c r="L14" s="95"/>
      <c r="M14" s="94">
        <f t="shared" si="3"/>
        <v>-244</v>
      </c>
      <c r="N14" s="90"/>
      <c r="O14" s="94"/>
    </row>
    <row r="15" spans="1:15" x14ac:dyDescent="0.25">
      <c r="A15" s="79" t="s">
        <v>288</v>
      </c>
      <c r="B15" s="91"/>
      <c r="C15" s="92"/>
      <c r="D15" s="93"/>
      <c r="E15" s="94">
        <v>1200</v>
      </c>
      <c r="F15" s="93"/>
      <c r="G15" s="94">
        <f t="shared" si="2"/>
        <v>1200</v>
      </c>
      <c r="H15" s="93"/>
      <c r="I15" s="94">
        <v>0</v>
      </c>
      <c r="J15" s="93"/>
      <c r="K15" s="94">
        <v>1444</v>
      </c>
      <c r="L15" s="95"/>
      <c r="M15" s="94">
        <f t="shared" si="3"/>
        <v>-244</v>
      </c>
      <c r="N15" s="90"/>
      <c r="O15" s="94"/>
    </row>
    <row r="16" spans="1:15" x14ac:dyDescent="0.25">
      <c r="A16" s="79" t="s">
        <v>290</v>
      </c>
      <c r="B16" s="91"/>
      <c r="C16" s="92"/>
      <c r="D16" s="93"/>
      <c r="E16" s="94">
        <v>3540</v>
      </c>
      <c r="F16" s="93"/>
      <c r="G16" s="94">
        <f t="shared" si="2"/>
        <v>3540</v>
      </c>
      <c r="H16" s="93"/>
      <c r="I16" s="93">
        <v>0</v>
      </c>
      <c r="J16" s="93"/>
      <c r="K16" s="94">
        <v>1849</v>
      </c>
      <c r="L16" s="95"/>
      <c r="M16" s="94">
        <f t="shared" si="3"/>
        <v>1691</v>
      </c>
      <c r="N16" s="90"/>
      <c r="O16" s="94"/>
    </row>
    <row r="17" spans="1:15" x14ac:dyDescent="0.25">
      <c r="A17" s="79" t="s">
        <v>291</v>
      </c>
      <c r="B17" s="91"/>
      <c r="C17" s="92"/>
      <c r="D17" s="93"/>
      <c r="E17" s="94">
        <v>2635</v>
      </c>
      <c r="F17" s="93"/>
      <c r="G17" s="94">
        <f t="shared" si="2"/>
        <v>2635</v>
      </c>
      <c r="H17" s="93"/>
      <c r="I17" s="93"/>
      <c r="J17" s="93"/>
      <c r="K17" s="94">
        <f>651</f>
        <v>651</v>
      </c>
      <c r="L17" s="95"/>
      <c r="M17" s="94">
        <f t="shared" si="3"/>
        <v>1984</v>
      </c>
      <c r="N17" s="90"/>
      <c r="O17" s="94"/>
    </row>
    <row r="18" spans="1:15" x14ac:dyDescent="0.25">
      <c r="A18" s="79" t="s">
        <v>298</v>
      </c>
      <c r="B18" s="91"/>
      <c r="C18" s="92"/>
      <c r="D18" s="93"/>
      <c r="E18" s="94">
        <v>6566</v>
      </c>
      <c r="F18" s="93"/>
      <c r="G18" s="94">
        <f t="shared" si="2"/>
        <v>6566</v>
      </c>
      <c r="H18" s="93"/>
      <c r="I18" s="93"/>
      <c r="J18" s="93"/>
      <c r="K18" s="94">
        <v>0</v>
      </c>
      <c r="L18" s="95"/>
      <c r="M18" s="94">
        <f t="shared" si="3"/>
        <v>6566</v>
      </c>
      <c r="N18" s="90"/>
      <c r="O18" s="94"/>
    </row>
    <row r="19" spans="1:15" x14ac:dyDescent="0.25">
      <c r="A19" s="82" t="s">
        <v>44</v>
      </c>
      <c r="B19" s="91"/>
      <c r="C19" s="97">
        <f>SUM(C11:C11)</f>
        <v>4400</v>
      </c>
      <c r="D19" s="93"/>
      <c r="E19" s="97">
        <f>SUM(E11:E18)</f>
        <v>17869.169999999998</v>
      </c>
      <c r="F19" s="93"/>
      <c r="G19" s="97">
        <f>SUM(G11:G18)</f>
        <v>22269.17</v>
      </c>
      <c r="H19" s="93"/>
      <c r="I19" s="97">
        <f>SUM(I11:I16)</f>
        <v>0</v>
      </c>
      <c r="J19" s="93"/>
      <c r="K19" s="97">
        <f>SUM(K11:K18)</f>
        <v>12516.17</v>
      </c>
      <c r="L19" s="93"/>
      <c r="M19" s="97">
        <f>SUM(M11:M17)</f>
        <v>3187</v>
      </c>
      <c r="N19" s="90"/>
    </row>
    <row r="20" spans="1:15" x14ac:dyDescent="0.25">
      <c r="A20" s="82" t="s">
        <v>45</v>
      </c>
      <c r="B20" s="91"/>
      <c r="C20" s="97">
        <f>C9-C19</f>
        <v>40214.648000000001</v>
      </c>
      <c r="D20" s="93"/>
      <c r="E20" s="93"/>
      <c r="F20" s="93"/>
      <c r="G20" s="97">
        <f>G9-G19</f>
        <v>22344.478000000003</v>
      </c>
      <c r="H20" s="93"/>
      <c r="I20" s="93"/>
      <c r="J20" s="93"/>
      <c r="K20" s="93"/>
      <c r="L20" s="93"/>
      <c r="M20" s="93"/>
      <c r="N20" s="90"/>
    </row>
    <row r="21" spans="1:15" x14ac:dyDescent="0.25">
      <c r="A21" s="90"/>
      <c r="B21" s="91"/>
      <c r="C21" s="90"/>
      <c r="D21" s="91"/>
      <c r="E21" s="90"/>
      <c r="F21" s="91"/>
      <c r="G21" s="104"/>
      <c r="H21" s="91"/>
      <c r="I21" s="91"/>
      <c r="J21" s="91"/>
      <c r="K21" s="105"/>
      <c r="L21" s="103"/>
      <c r="M21" s="104"/>
      <c r="N21" s="90"/>
    </row>
    <row r="22" spans="1:15" x14ac:dyDescent="0.25">
      <c r="K22" s="24"/>
    </row>
  </sheetData>
  <mergeCells count="4">
    <mergeCell ref="A1:M1"/>
    <mergeCell ref="A2:M2"/>
    <mergeCell ref="A3:M3"/>
    <mergeCell ref="A4:M4"/>
  </mergeCells>
  <printOptions horizontalCentered="1"/>
  <pageMargins left="0.25" right="0.25" top="0.25" bottom="0.3" header="0.3" footer="0"/>
  <pageSetup orientation="landscape" r:id="rId1"/>
  <headerFooter scaleWithDoc="0">
    <firstFooter>&amp;R
&amp;P&amp;N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M22"/>
  <sheetViews>
    <sheetView workbookViewId="0">
      <selection activeCell="J10" sqref="J10"/>
    </sheetView>
  </sheetViews>
  <sheetFormatPr defaultRowHeight="15" x14ac:dyDescent="0.25"/>
  <cols>
    <col min="1" max="1" width="32.5703125" bestFit="1" customWidth="1"/>
    <col min="2" max="2" width="1.7109375" style="1" customWidth="1"/>
    <col min="3" max="3" width="10.5703125" bestFit="1" customWidth="1"/>
    <col min="4" max="4" width="1.7109375" style="1" customWidth="1"/>
    <col min="5" max="5" width="11.5703125" customWidth="1"/>
    <col min="6" max="6" width="1.7109375" style="1" customWidth="1"/>
    <col min="7" max="7" width="11.7109375" style="4" bestFit="1" customWidth="1"/>
    <col min="8" max="8" width="1.7109375" style="1" customWidth="1"/>
    <col min="9" max="9" width="15.28515625" style="1" hidden="1" customWidth="1"/>
    <col min="10" max="10" width="14" style="4" customWidth="1"/>
    <col min="11" max="11" width="1.7109375" style="16" customWidth="1"/>
    <col min="12" max="12" width="10.140625" style="4" customWidth="1"/>
  </cols>
  <sheetData>
    <row r="1" spans="1:13" x14ac:dyDescent="0.25">
      <c r="A1" s="255" t="s">
        <v>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3" x14ac:dyDescent="0.25">
      <c r="A2" s="255" t="s">
        <v>73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3" x14ac:dyDescent="0.25">
      <c r="A3" s="255" t="s">
        <v>49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</row>
    <row r="4" spans="1:13" ht="13.15" customHeight="1" x14ac:dyDescent="0.25">
      <c r="A4" s="255" t="str">
        <f>+'Allocation '!A3:U3</f>
        <v>As of June 30, 2020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3" x14ac:dyDescent="0.25">
      <c r="A5" s="2"/>
      <c r="B5" s="2"/>
      <c r="C5" s="2"/>
      <c r="D5" s="67"/>
      <c r="E5" s="2"/>
      <c r="F5" s="67"/>
      <c r="G5" s="6"/>
      <c r="H5" s="67"/>
      <c r="I5" s="226"/>
      <c r="J5" s="6"/>
      <c r="K5" s="68"/>
      <c r="L5" s="6"/>
    </row>
    <row r="6" spans="1:13" ht="27" thickBot="1" x14ac:dyDescent="0.3">
      <c r="A6" s="83" t="s">
        <v>3</v>
      </c>
      <c r="B6" s="84"/>
      <c r="C6" s="85" t="s">
        <v>4</v>
      </c>
      <c r="D6" s="86"/>
      <c r="E6" s="85" t="s">
        <v>5</v>
      </c>
      <c r="F6" s="86"/>
      <c r="G6" s="87" t="s">
        <v>6</v>
      </c>
      <c r="H6" s="86"/>
      <c r="I6" s="88" t="s">
        <v>247</v>
      </c>
      <c r="J6" s="88" t="s">
        <v>248</v>
      </c>
      <c r="K6" s="89"/>
      <c r="L6" s="87" t="s">
        <v>51</v>
      </c>
      <c r="M6" s="90"/>
    </row>
    <row r="7" spans="1:13" x14ac:dyDescent="0.25">
      <c r="A7" s="90" t="s">
        <v>17</v>
      </c>
      <c r="B7" s="91"/>
      <c r="C7" s="92">
        <f>+'Allocation '!P12</f>
        <v>21377.100000000002</v>
      </c>
      <c r="D7" s="93"/>
      <c r="E7" s="92">
        <v>0</v>
      </c>
      <c r="F7" s="93"/>
      <c r="G7" s="94">
        <f>+C7+E7</f>
        <v>21377.100000000002</v>
      </c>
      <c r="H7" s="93"/>
      <c r="I7" s="93"/>
      <c r="J7" s="94">
        <v>0</v>
      </c>
      <c r="K7" s="95"/>
      <c r="L7" s="94">
        <f>G7-I7-J7</f>
        <v>21377.100000000002</v>
      </c>
      <c r="M7" s="90"/>
    </row>
    <row r="8" spans="1:13" x14ac:dyDescent="0.25">
      <c r="A8" s="90" t="s">
        <v>18</v>
      </c>
      <c r="B8" s="91"/>
      <c r="C8" s="92">
        <f>+'Allocation '!P16</f>
        <v>14707.623600000003</v>
      </c>
      <c r="D8" s="93"/>
      <c r="E8" s="92">
        <v>0</v>
      </c>
      <c r="F8" s="93"/>
      <c r="G8" s="94">
        <f>+C8+E8</f>
        <v>14707.623600000003</v>
      </c>
      <c r="H8" s="93"/>
      <c r="I8" s="93"/>
      <c r="J8" s="94">
        <v>0</v>
      </c>
      <c r="K8" s="95"/>
      <c r="L8" s="94">
        <f t="shared" ref="L8:L9" si="0">G8-I8-J8</f>
        <v>14707.623600000003</v>
      </c>
      <c r="M8" s="90"/>
    </row>
    <row r="9" spans="1:13" x14ac:dyDescent="0.25">
      <c r="A9" s="90" t="s">
        <v>74</v>
      </c>
      <c r="B9" s="91"/>
      <c r="C9" s="92">
        <f>+'Allocation '!P18</f>
        <v>700</v>
      </c>
      <c r="D9" s="93"/>
      <c r="E9" s="92">
        <v>0</v>
      </c>
      <c r="F9" s="93"/>
      <c r="G9" s="94">
        <f>C9+E9</f>
        <v>700</v>
      </c>
      <c r="H9" s="93"/>
      <c r="I9" s="93"/>
      <c r="J9" s="94">
        <v>386</v>
      </c>
      <c r="K9" s="95"/>
      <c r="L9" s="94">
        <f t="shared" si="0"/>
        <v>314</v>
      </c>
      <c r="M9" s="90"/>
    </row>
    <row r="10" spans="1:13" x14ac:dyDescent="0.25">
      <c r="A10" s="96" t="s">
        <v>23</v>
      </c>
      <c r="B10" s="91"/>
      <c r="C10" s="97">
        <f>SUM(C7:C9)</f>
        <v>36784.723600000005</v>
      </c>
      <c r="D10" s="93"/>
      <c r="E10" s="97">
        <f>SUM(E7:E8)</f>
        <v>0</v>
      </c>
      <c r="F10" s="93"/>
      <c r="G10" s="98">
        <f>SUM(G7:G9)</f>
        <v>36784.723600000005</v>
      </c>
      <c r="H10" s="93"/>
      <c r="I10" s="98">
        <f>SUM(I7:I9)</f>
        <v>0</v>
      </c>
      <c r="J10" s="98">
        <f>SUM(J7:J9)</f>
        <v>386</v>
      </c>
      <c r="K10" s="95"/>
      <c r="L10" s="98">
        <f>SUM(L7:L9)</f>
        <v>36398.723600000005</v>
      </c>
      <c r="M10" s="90"/>
    </row>
    <row r="11" spans="1:13" x14ac:dyDescent="0.25">
      <c r="A11" s="90"/>
      <c r="B11" s="91"/>
      <c r="C11" s="92"/>
      <c r="D11" s="93"/>
      <c r="E11" s="92"/>
      <c r="F11" s="93"/>
      <c r="G11" s="94"/>
      <c r="H11" s="93"/>
      <c r="I11" s="93"/>
      <c r="J11" s="94"/>
      <c r="K11" s="95"/>
      <c r="L11" s="94"/>
      <c r="M11" s="90"/>
    </row>
    <row r="12" spans="1:13" x14ac:dyDescent="0.25">
      <c r="A12" s="79" t="s">
        <v>24</v>
      </c>
      <c r="B12" s="91"/>
      <c r="C12" s="92">
        <v>3600</v>
      </c>
      <c r="D12" s="93"/>
      <c r="E12" s="92">
        <v>0</v>
      </c>
      <c r="F12" s="93"/>
      <c r="G12" s="94">
        <f t="shared" ref="G12:G18" si="1">+C12+E12</f>
        <v>3600</v>
      </c>
      <c r="H12" s="93"/>
      <c r="I12" s="93"/>
      <c r="J12" s="94">
        <v>3600</v>
      </c>
      <c r="K12" s="95"/>
      <c r="L12" s="94">
        <f t="shared" ref="L12:L18" si="2">G12-I12-J12</f>
        <v>0</v>
      </c>
      <c r="M12" s="90"/>
    </row>
    <row r="13" spans="1:13" x14ac:dyDescent="0.25">
      <c r="A13" s="79" t="s">
        <v>70</v>
      </c>
      <c r="B13" s="91"/>
      <c r="C13" s="92">
        <v>0</v>
      </c>
      <c r="D13" s="93"/>
      <c r="E13" s="92">
        <v>28000</v>
      </c>
      <c r="F13" s="93"/>
      <c r="G13" s="94">
        <f>+C13+E13</f>
        <v>28000</v>
      </c>
      <c r="H13" s="93"/>
      <c r="I13" s="93"/>
      <c r="J13" s="94">
        <v>14088</v>
      </c>
      <c r="K13" s="95"/>
      <c r="L13" s="94">
        <f t="shared" si="2"/>
        <v>13912</v>
      </c>
      <c r="M13" s="90"/>
    </row>
    <row r="14" spans="1:13" x14ac:dyDescent="0.25">
      <c r="A14" s="79" t="s">
        <v>75</v>
      </c>
      <c r="B14" s="91"/>
      <c r="C14" s="92">
        <v>0</v>
      </c>
      <c r="D14" s="93"/>
      <c r="E14" s="92">
        <v>800</v>
      </c>
      <c r="F14" s="93"/>
      <c r="G14" s="94">
        <f>+C14+E14</f>
        <v>800</v>
      </c>
      <c r="H14" s="93"/>
      <c r="I14" s="93"/>
      <c r="J14" s="94">
        <v>575</v>
      </c>
      <c r="K14" s="95"/>
      <c r="L14" s="94">
        <f t="shared" si="2"/>
        <v>225</v>
      </c>
      <c r="M14" s="90"/>
    </row>
    <row r="15" spans="1:13" x14ac:dyDescent="0.25">
      <c r="A15" s="79" t="s">
        <v>242</v>
      </c>
      <c r="B15" s="91"/>
      <c r="C15" s="92">
        <v>0</v>
      </c>
      <c r="D15" s="93"/>
      <c r="E15" s="92">
        <f>3000+4345</f>
        <v>7345</v>
      </c>
      <c r="F15" s="93"/>
      <c r="G15" s="94">
        <f>+C15+E15</f>
        <v>7345</v>
      </c>
      <c r="H15" s="93"/>
      <c r="I15" s="93">
        <v>0</v>
      </c>
      <c r="J15" s="94">
        <v>4345</v>
      </c>
      <c r="K15" s="95"/>
      <c r="L15" s="94">
        <f t="shared" si="2"/>
        <v>3000</v>
      </c>
      <c r="M15" s="90"/>
    </row>
    <row r="16" spans="1:13" x14ac:dyDescent="0.25">
      <c r="A16" s="79" t="s">
        <v>76</v>
      </c>
      <c r="B16" s="91"/>
      <c r="C16" s="92">
        <v>0</v>
      </c>
      <c r="D16" s="93"/>
      <c r="E16" s="92">
        <v>1500</v>
      </c>
      <c r="F16" s="93"/>
      <c r="G16" s="94">
        <f t="shared" si="1"/>
        <v>1500</v>
      </c>
      <c r="H16" s="93"/>
      <c r="I16" s="93"/>
      <c r="J16" s="94">
        <v>0</v>
      </c>
      <c r="K16" s="95"/>
      <c r="L16" s="94">
        <f t="shared" si="2"/>
        <v>1500</v>
      </c>
      <c r="M16" s="90"/>
    </row>
    <row r="17" spans="1:13" x14ac:dyDescent="0.25">
      <c r="A17" s="79" t="s">
        <v>243</v>
      </c>
      <c r="B17" s="91"/>
      <c r="C17" s="92">
        <v>0</v>
      </c>
      <c r="D17" s="93"/>
      <c r="E17" s="92">
        <v>1000</v>
      </c>
      <c r="F17" s="93"/>
      <c r="G17" s="94">
        <f t="shared" si="1"/>
        <v>1000</v>
      </c>
      <c r="H17" s="93"/>
      <c r="I17" s="93"/>
      <c r="J17" s="94">
        <v>0</v>
      </c>
      <c r="K17" s="95"/>
      <c r="L17" s="94">
        <f t="shared" si="2"/>
        <v>1000</v>
      </c>
      <c r="M17" s="90"/>
    </row>
    <row r="18" spans="1:13" x14ac:dyDescent="0.25">
      <c r="A18" s="79" t="s">
        <v>77</v>
      </c>
      <c r="B18" s="91"/>
      <c r="C18" s="92">
        <v>0</v>
      </c>
      <c r="D18" s="93"/>
      <c r="E18" s="92">
        <v>500</v>
      </c>
      <c r="F18" s="93"/>
      <c r="G18" s="94">
        <f t="shared" si="1"/>
        <v>500</v>
      </c>
      <c r="H18" s="93"/>
      <c r="I18" s="93">
        <v>0</v>
      </c>
      <c r="J18" s="94">
        <v>856.84</v>
      </c>
      <c r="K18" s="95"/>
      <c r="L18" s="94">
        <f t="shared" si="2"/>
        <v>-356.84000000000003</v>
      </c>
      <c r="M18" s="90"/>
    </row>
    <row r="19" spans="1:13" x14ac:dyDescent="0.25">
      <c r="A19" s="82" t="s">
        <v>44</v>
      </c>
      <c r="B19" s="91"/>
      <c r="C19" s="97">
        <f>SUM(C12:C12)</f>
        <v>3600</v>
      </c>
      <c r="D19" s="93"/>
      <c r="E19" s="97">
        <f>SUM(E12:E18)</f>
        <v>39145</v>
      </c>
      <c r="F19" s="93"/>
      <c r="G19" s="97">
        <f>SUM(G12:G18)</f>
        <v>42745</v>
      </c>
      <c r="H19" s="93"/>
      <c r="I19" s="97">
        <f>SUM(I12:I18)</f>
        <v>0</v>
      </c>
      <c r="J19" s="97">
        <f>SUM(J12:J18)</f>
        <v>23464.84</v>
      </c>
      <c r="K19" s="93"/>
      <c r="L19" s="97">
        <f>SUM(L12:L18)</f>
        <v>19280.16</v>
      </c>
      <c r="M19" s="90"/>
    </row>
    <row r="20" spans="1:13" x14ac:dyDescent="0.25">
      <c r="A20" s="82" t="s">
        <v>45</v>
      </c>
      <c r="B20" s="91"/>
      <c r="C20" s="97">
        <f>C10-C19</f>
        <v>33184.723600000005</v>
      </c>
      <c r="D20" s="93"/>
      <c r="E20" s="93"/>
      <c r="F20" s="93"/>
      <c r="G20" s="97">
        <f>G10-G19</f>
        <v>-5960.2763999999952</v>
      </c>
      <c r="H20" s="93"/>
      <c r="I20" s="93"/>
      <c r="J20" s="93"/>
      <c r="K20" s="93"/>
      <c r="L20" s="93"/>
      <c r="M20" s="90"/>
    </row>
    <row r="21" spans="1:13" x14ac:dyDescent="0.25">
      <c r="A21" s="90"/>
      <c r="B21" s="91"/>
      <c r="C21" s="90"/>
      <c r="D21" s="91"/>
      <c r="E21" s="90"/>
      <c r="F21" s="91"/>
      <c r="G21" s="104"/>
      <c r="H21" s="91"/>
      <c r="I21" s="91"/>
      <c r="J21" s="105"/>
      <c r="K21" s="103"/>
      <c r="L21" s="103"/>
      <c r="M21" s="90"/>
    </row>
    <row r="22" spans="1:13" x14ac:dyDescent="0.25">
      <c r="G22" s="24"/>
    </row>
  </sheetData>
  <mergeCells count="4">
    <mergeCell ref="A1:L1"/>
    <mergeCell ref="A2:L2"/>
    <mergeCell ref="A3:L3"/>
    <mergeCell ref="A4:L4"/>
  </mergeCells>
  <printOptions horizontalCentered="1"/>
  <pageMargins left="0.25" right="0.25" top="0.25" bottom="0.3" header="0.3" footer="0"/>
  <pageSetup orientation="landscape" r:id="rId1"/>
  <headerFooter scaleWithDoc="0">
    <firstFooter>&amp;R
&amp;P&amp;N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29"/>
  <sheetViews>
    <sheetView workbookViewId="0">
      <selection activeCell="J13" sqref="J13"/>
    </sheetView>
  </sheetViews>
  <sheetFormatPr defaultRowHeight="15" x14ac:dyDescent="0.25"/>
  <cols>
    <col min="1" max="1" width="32.5703125" bestFit="1" customWidth="1"/>
    <col min="2" max="2" width="1.7109375" style="1" customWidth="1"/>
    <col min="3" max="3" width="10.5703125" bestFit="1" customWidth="1"/>
    <col min="4" max="4" width="1.7109375" style="1" customWidth="1"/>
    <col min="5" max="5" width="11.5703125" customWidth="1"/>
    <col min="6" max="6" width="1.7109375" style="1" customWidth="1"/>
    <col min="7" max="7" width="11.7109375" style="4" bestFit="1" customWidth="1"/>
    <col min="8" max="8" width="1.7109375" style="1" customWidth="1"/>
    <col min="9" max="9" width="15.28515625" style="1" hidden="1" customWidth="1"/>
    <col min="10" max="10" width="14" style="4" customWidth="1"/>
    <col min="11" max="11" width="1.7109375" style="16" customWidth="1"/>
    <col min="12" max="12" width="10.140625" style="4" customWidth="1"/>
  </cols>
  <sheetData>
    <row r="1" spans="1:12" x14ac:dyDescent="0.25">
      <c r="A1" s="255" t="s">
        <v>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2" x14ac:dyDescent="0.25">
      <c r="A2" s="255" t="s">
        <v>12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x14ac:dyDescent="0.25">
      <c r="A3" s="255" t="s">
        <v>72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</row>
    <row r="4" spans="1:12" ht="15" customHeight="1" x14ac:dyDescent="0.25">
      <c r="A4" s="255" t="str">
        <f>+'Allocation '!A3:U3</f>
        <v>As of June 30, 2020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2" x14ac:dyDescent="0.25">
      <c r="A5" s="2"/>
      <c r="B5" s="2"/>
      <c r="C5" s="2"/>
      <c r="D5" s="67"/>
      <c r="E5" s="2"/>
      <c r="F5" s="67"/>
      <c r="G5" s="6"/>
      <c r="H5" s="67"/>
      <c r="I5" s="245"/>
      <c r="J5" s="6"/>
      <c r="K5" s="68"/>
      <c r="L5" s="6"/>
    </row>
    <row r="6" spans="1:12" ht="39.75" thickBot="1" x14ac:dyDescent="0.3">
      <c r="A6" s="83" t="s">
        <v>3</v>
      </c>
      <c r="B6" s="84"/>
      <c r="C6" s="85" t="s">
        <v>4</v>
      </c>
      <c r="D6" s="86"/>
      <c r="E6" s="85" t="s">
        <v>5</v>
      </c>
      <c r="F6" s="86"/>
      <c r="G6" s="87" t="s">
        <v>6</v>
      </c>
      <c r="H6" s="86"/>
      <c r="I6" s="88" t="s">
        <v>247</v>
      </c>
      <c r="J6" s="88" t="s">
        <v>286</v>
      </c>
      <c r="K6" s="89"/>
      <c r="L6" s="87" t="s">
        <v>51</v>
      </c>
    </row>
    <row r="7" spans="1:12" x14ac:dyDescent="0.25">
      <c r="A7" s="90" t="s">
        <v>17</v>
      </c>
      <c r="B7" s="91"/>
      <c r="C7" s="92">
        <f>+'Allocation '!Q12</f>
        <v>28502.800000000003</v>
      </c>
      <c r="D7" s="93"/>
      <c r="E7" s="92">
        <v>0</v>
      </c>
      <c r="F7" s="93"/>
      <c r="G7" s="94">
        <f>C7+E7</f>
        <v>28502.800000000003</v>
      </c>
      <c r="H7" s="93"/>
      <c r="I7" s="93"/>
      <c r="J7" s="94">
        <v>0</v>
      </c>
      <c r="K7" s="95"/>
      <c r="L7" s="94">
        <f>G7-J7</f>
        <v>28502.800000000003</v>
      </c>
    </row>
    <row r="8" spans="1:12" x14ac:dyDescent="0.25">
      <c r="A8" s="90" t="s">
        <v>18</v>
      </c>
      <c r="B8" s="91"/>
      <c r="C8" s="92">
        <f>+'Allocation '!Q16</f>
        <v>19587.312000000002</v>
      </c>
      <c r="D8" s="93"/>
      <c r="E8" s="92">
        <v>0</v>
      </c>
      <c r="F8" s="93"/>
      <c r="G8" s="94">
        <f>C8+E8</f>
        <v>19587.312000000002</v>
      </c>
      <c r="H8" s="93"/>
      <c r="I8" s="93"/>
      <c r="J8" s="94">
        <v>0</v>
      </c>
      <c r="K8" s="95"/>
      <c r="L8" s="94">
        <f>G8-J8</f>
        <v>19587.312000000002</v>
      </c>
    </row>
    <row r="9" spans="1:12" hidden="1" x14ac:dyDescent="0.25">
      <c r="A9" s="90" t="s">
        <v>22</v>
      </c>
      <c r="B9" s="91"/>
      <c r="C9" s="92">
        <v>0</v>
      </c>
      <c r="D9" s="93"/>
      <c r="E9" s="92">
        <v>0</v>
      </c>
      <c r="F9" s="93"/>
      <c r="G9" s="94">
        <f>+C9+E9</f>
        <v>0</v>
      </c>
      <c r="H9" s="93"/>
      <c r="I9" s="93"/>
      <c r="J9" s="94"/>
      <c r="K9" s="95"/>
      <c r="L9" s="94">
        <f>+G9+J9</f>
        <v>0</v>
      </c>
    </row>
    <row r="10" spans="1:12" x14ac:dyDescent="0.25">
      <c r="A10" s="96" t="s">
        <v>23</v>
      </c>
      <c r="B10" s="91"/>
      <c r="C10" s="97">
        <f>SUM(C7:C9)</f>
        <v>48090.112000000008</v>
      </c>
      <c r="D10" s="93"/>
      <c r="E10" s="97">
        <f>SUM(E7:E9)</f>
        <v>0</v>
      </c>
      <c r="F10" s="93"/>
      <c r="G10" s="98">
        <f>SUM(G7:G9)</f>
        <v>48090.112000000008</v>
      </c>
      <c r="H10" s="93"/>
      <c r="I10" s="98">
        <f>SUM(I7:I9)</f>
        <v>0</v>
      </c>
      <c r="J10" s="98">
        <f>SUM(J7:J9)</f>
        <v>0</v>
      </c>
      <c r="K10" s="95"/>
      <c r="L10" s="98">
        <f>SUM(L7:L9)</f>
        <v>48090.112000000008</v>
      </c>
    </row>
    <row r="11" spans="1:12" x14ac:dyDescent="0.25">
      <c r="A11" s="90"/>
      <c r="B11" s="91"/>
      <c r="C11" s="92"/>
      <c r="D11" s="93"/>
      <c r="E11" s="92"/>
      <c r="F11" s="93"/>
      <c r="G11" s="94"/>
      <c r="H11" s="93"/>
      <c r="I11" s="93"/>
      <c r="J11" s="94"/>
      <c r="K11" s="95"/>
      <c r="L11" s="94"/>
    </row>
    <row r="12" spans="1:12" x14ac:dyDescent="0.25">
      <c r="A12" s="79" t="s">
        <v>24</v>
      </c>
      <c r="B12" s="91"/>
      <c r="C12" s="92">
        <v>4800</v>
      </c>
      <c r="D12" s="93"/>
      <c r="E12" s="92">
        <v>0</v>
      </c>
      <c r="F12" s="93"/>
      <c r="G12" s="94">
        <f>C12-E12</f>
        <v>4800</v>
      </c>
      <c r="H12" s="93"/>
      <c r="I12" s="93">
        <v>0</v>
      </c>
      <c r="J12" s="94">
        <v>4800</v>
      </c>
      <c r="K12" s="95"/>
      <c r="L12" s="94">
        <f t="shared" ref="L12:L18" si="0">G12-J12</f>
        <v>0</v>
      </c>
    </row>
    <row r="13" spans="1:12" x14ac:dyDescent="0.25">
      <c r="A13" s="79" t="s">
        <v>70</v>
      </c>
      <c r="B13" s="91"/>
      <c r="C13" s="92">
        <v>0</v>
      </c>
      <c r="D13" s="93"/>
      <c r="E13" s="92">
        <f>26150+24840</f>
        <v>50990</v>
      </c>
      <c r="F13" s="93"/>
      <c r="G13" s="94">
        <f>+C13+E13</f>
        <v>50990</v>
      </c>
      <c r="H13" s="93"/>
      <c r="I13" s="93">
        <v>0</v>
      </c>
      <c r="J13" s="94">
        <v>28438</v>
      </c>
      <c r="K13" s="95"/>
      <c r="L13" s="94">
        <f t="shared" si="0"/>
        <v>22552</v>
      </c>
    </row>
    <row r="14" spans="1:12" x14ac:dyDescent="0.25">
      <c r="A14" s="79" t="s">
        <v>78</v>
      </c>
      <c r="B14" s="91"/>
      <c r="C14" s="92">
        <v>0</v>
      </c>
      <c r="D14" s="93"/>
      <c r="E14" s="92">
        <f>125+100+500+200</f>
        <v>925</v>
      </c>
      <c r="F14" s="93"/>
      <c r="G14" s="94">
        <f>+C14+E14</f>
        <v>925</v>
      </c>
      <c r="H14" s="93"/>
      <c r="I14" s="93">
        <v>0</v>
      </c>
      <c r="J14" s="94">
        <f>1200+125</f>
        <v>1325</v>
      </c>
      <c r="K14" s="95"/>
      <c r="L14" s="94">
        <f t="shared" si="0"/>
        <v>-400</v>
      </c>
    </row>
    <row r="15" spans="1:12" hidden="1" x14ac:dyDescent="0.25">
      <c r="A15" s="79" t="s">
        <v>79</v>
      </c>
      <c r="B15" s="91"/>
      <c r="C15" s="92">
        <v>0</v>
      </c>
      <c r="D15" s="93"/>
      <c r="E15" s="92">
        <v>0</v>
      </c>
      <c r="F15" s="93"/>
      <c r="G15" s="94">
        <f t="shared" ref="G15:G21" si="1">+C15+E15</f>
        <v>0</v>
      </c>
      <c r="H15" s="93"/>
      <c r="I15" s="93">
        <v>0</v>
      </c>
      <c r="J15" s="94">
        <v>0</v>
      </c>
      <c r="K15" s="95"/>
      <c r="L15" s="94">
        <f t="shared" si="0"/>
        <v>0</v>
      </c>
    </row>
    <row r="16" spans="1:12" hidden="1" x14ac:dyDescent="0.25">
      <c r="A16" s="79" t="s">
        <v>66</v>
      </c>
      <c r="B16" s="91"/>
      <c r="C16" s="92">
        <v>0</v>
      </c>
      <c r="D16" s="93"/>
      <c r="E16" s="92">
        <v>0</v>
      </c>
      <c r="F16" s="93"/>
      <c r="G16" s="94">
        <f t="shared" si="1"/>
        <v>0</v>
      </c>
      <c r="H16" s="93"/>
      <c r="I16" s="93"/>
      <c r="J16" s="94">
        <v>0</v>
      </c>
      <c r="K16" s="95"/>
      <c r="L16" s="94">
        <f t="shared" si="0"/>
        <v>0</v>
      </c>
    </row>
    <row r="17" spans="1:12" hidden="1" x14ac:dyDescent="0.25">
      <c r="A17" s="79" t="s">
        <v>80</v>
      </c>
      <c r="B17" s="91"/>
      <c r="C17" s="92"/>
      <c r="D17" s="93"/>
      <c r="E17" s="92">
        <v>0</v>
      </c>
      <c r="F17" s="93"/>
      <c r="G17" s="94">
        <f t="shared" si="1"/>
        <v>0</v>
      </c>
      <c r="H17" s="93"/>
      <c r="I17" s="93"/>
      <c r="J17" s="94">
        <v>0</v>
      </c>
      <c r="K17" s="95"/>
      <c r="L17" s="94">
        <f t="shared" si="0"/>
        <v>0</v>
      </c>
    </row>
    <row r="18" spans="1:12" hidden="1" x14ac:dyDescent="0.25">
      <c r="A18" s="79" t="s">
        <v>81</v>
      </c>
      <c r="B18" s="91"/>
      <c r="C18" s="92">
        <v>0</v>
      </c>
      <c r="D18" s="93"/>
      <c r="E18" s="92">
        <v>0</v>
      </c>
      <c r="F18" s="93"/>
      <c r="G18" s="94">
        <f>+C18+E18</f>
        <v>0</v>
      </c>
      <c r="H18" s="93"/>
      <c r="I18" s="93">
        <v>0</v>
      </c>
      <c r="J18" s="94">
        <v>0</v>
      </c>
      <c r="K18" s="95"/>
      <c r="L18" s="94">
        <f t="shared" si="0"/>
        <v>0</v>
      </c>
    </row>
    <row r="19" spans="1:12" hidden="1" x14ac:dyDescent="0.25">
      <c r="A19" s="79" t="s">
        <v>82</v>
      </c>
      <c r="B19" s="91"/>
      <c r="C19" s="92">
        <v>0</v>
      </c>
      <c r="D19" s="93"/>
      <c r="E19" s="92">
        <v>0</v>
      </c>
      <c r="F19" s="93"/>
      <c r="G19" s="94">
        <f t="shared" si="1"/>
        <v>0</v>
      </c>
      <c r="H19" s="93"/>
      <c r="I19" s="93">
        <v>0</v>
      </c>
      <c r="J19" s="94">
        <v>0</v>
      </c>
      <c r="K19" s="95"/>
      <c r="L19" s="94">
        <f>+G19-J19</f>
        <v>0</v>
      </c>
    </row>
    <row r="20" spans="1:12" hidden="1" x14ac:dyDescent="0.25">
      <c r="A20" s="79" t="s">
        <v>69</v>
      </c>
      <c r="B20" s="91"/>
      <c r="C20" s="92">
        <v>0</v>
      </c>
      <c r="D20" s="93"/>
      <c r="E20" s="92">
        <v>0</v>
      </c>
      <c r="F20" s="93"/>
      <c r="G20" s="94">
        <f t="shared" si="1"/>
        <v>0</v>
      </c>
      <c r="H20" s="93"/>
      <c r="I20" s="94">
        <v>0</v>
      </c>
      <c r="J20" s="94">
        <v>0</v>
      </c>
      <c r="K20" s="95"/>
      <c r="L20" s="94">
        <f>+G20-J20</f>
        <v>0</v>
      </c>
    </row>
    <row r="21" spans="1:12" x14ac:dyDescent="0.25">
      <c r="A21" s="79" t="s">
        <v>77</v>
      </c>
      <c r="B21" s="91"/>
      <c r="C21" s="92">
        <v>0</v>
      </c>
      <c r="D21" s="93"/>
      <c r="E21" s="92">
        <v>0</v>
      </c>
      <c r="F21" s="93"/>
      <c r="G21" s="94">
        <f t="shared" si="1"/>
        <v>0</v>
      </c>
      <c r="H21" s="93"/>
      <c r="I21" s="95">
        <v>0</v>
      </c>
      <c r="J21" s="94">
        <v>0</v>
      </c>
      <c r="K21" s="95"/>
      <c r="L21" s="94">
        <f>+G21-J21</f>
        <v>0</v>
      </c>
    </row>
    <row r="22" spans="1:12" x14ac:dyDescent="0.25">
      <c r="A22" s="82" t="s">
        <v>44</v>
      </c>
      <c r="B22" s="91"/>
      <c r="C22" s="97">
        <f>SUM(C12:C21)</f>
        <v>4800</v>
      </c>
      <c r="D22" s="93"/>
      <c r="E22" s="97">
        <f>SUM(E12:E21)</f>
        <v>51915</v>
      </c>
      <c r="F22" s="93"/>
      <c r="G22" s="97">
        <f>SUM(G12:G21)</f>
        <v>56715</v>
      </c>
      <c r="H22" s="93"/>
      <c r="I22" s="246">
        <f>SUM(I12:I21)</f>
        <v>0</v>
      </c>
      <c r="J22" s="97">
        <f>SUM(J12:J21)</f>
        <v>34563</v>
      </c>
      <c r="K22" s="93"/>
      <c r="L22" s="97">
        <f>SUM(L12:L21)</f>
        <v>22152</v>
      </c>
    </row>
    <row r="23" spans="1:12" x14ac:dyDescent="0.25">
      <c r="A23" s="82" t="s">
        <v>45</v>
      </c>
      <c r="B23" s="91"/>
      <c r="C23" s="97">
        <f>C10-C22</f>
        <v>43290.112000000008</v>
      </c>
      <c r="D23" s="93"/>
      <c r="E23" s="93"/>
      <c r="F23" s="93"/>
      <c r="G23" s="97">
        <f>G10-G22</f>
        <v>-8624.8879999999917</v>
      </c>
      <c r="H23" s="93"/>
      <c r="J23" s="93"/>
      <c r="K23" s="93"/>
      <c r="L23" s="93"/>
    </row>
    <row r="24" spans="1:12" x14ac:dyDescent="0.25">
      <c r="A24" s="90"/>
      <c r="B24" s="91"/>
      <c r="C24" s="90"/>
      <c r="D24" s="91"/>
      <c r="E24" s="90"/>
      <c r="F24" s="91"/>
      <c r="G24" s="104"/>
      <c r="H24" s="91"/>
      <c r="J24" s="105"/>
      <c r="K24" s="103"/>
      <c r="L24" s="104"/>
    </row>
    <row r="25" spans="1:12" x14ac:dyDescent="0.25">
      <c r="J25" s="24"/>
    </row>
    <row r="26" spans="1:12" x14ac:dyDescent="0.25">
      <c r="G26" s="24"/>
      <c r="J26" s="163">
        <v>30367.759999999998</v>
      </c>
    </row>
    <row r="27" spans="1:12" x14ac:dyDescent="0.25">
      <c r="J27" s="164">
        <f>+J22-J26</f>
        <v>4195.2400000000016</v>
      </c>
    </row>
    <row r="28" spans="1:12" x14ac:dyDescent="0.25">
      <c r="J28" s="163"/>
    </row>
    <row r="29" spans="1:12" hidden="1" x14ac:dyDescent="0.25">
      <c r="E29">
        <f>21667-21213</f>
        <v>454</v>
      </c>
    </row>
  </sheetData>
  <mergeCells count="4">
    <mergeCell ref="A1:L1"/>
    <mergeCell ref="A2:L2"/>
    <mergeCell ref="A3:L3"/>
    <mergeCell ref="A4:L4"/>
  </mergeCells>
  <printOptions horizontalCentered="1"/>
  <pageMargins left="0.25" right="0.25" top="0.25" bottom="0.3" header="0.3" footer="0"/>
  <pageSetup orientation="landscape" r:id="rId1"/>
  <headerFooter scaleWithDoc="0">
    <firstFooter>&amp;R
&amp;P&amp;N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62"/>
  <sheetViews>
    <sheetView zoomScaleNormal="100" workbookViewId="0">
      <selection activeCell="J12" sqref="J12"/>
    </sheetView>
  </sheetViews>
  <sheetFormatPr defaultRowHeight="15" x14ac:dyDescent="0.25"/>
  <cols>
    <col min="1" max="1" width="9.7109375" bestFit="1" customWidth="1"/>
    <col min="2" max="2" width="39.28515625" customWidth="1"/>
    <col min="3" max="3" width="1.7109375" style="1" customWidth="1"/>
    <col min="4" max="4" width="10.5703125" bestFit="1" customWidth="1"/>
    <col min="5" max="5" width="1.7109375" style="1" customWidth="1"/>
    <col min="6" max="6" width="11.5703125" customWidth="1"/>
    <col min="7" max="7" width="1.7109375" style="1" customWidth="1"/>
    <col min="8" max="8" width="11.7109375" style="4" bestFit="1" customWidth="1"/>
    <col min="9" max="9" width="1.7109375" style="1" customWidth="1"/>
    <col min="10" max="10" width="14" style="4" customWidth="1"/>
    <col min="11" max="11" width="1.7109375" style="16" customWidth="1"/>
    <col min="12" max="12" width="10.140625" style="4" customWidth="1"/>
  </cols>
  <sheetData>
    <row r="1" spans="1:13" x14ac:dyDescent="0.25">
      <c r="A1" s="255" t="s">
        <v>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3" x14ac:dyDescent="0.25">
      <c r="A2" s="255" t="s">
        <v>83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3" x14ac:dyDescent="0.25">
      <c r="A3" s="255" t="s">
        <v>72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</row>
    <row r="4" spans="1:13" ht="12.75" customHeight="1" x14ac:dyDescent="0.25">
      <c r="A4" s="255" t="str">
        <f>+'Allocation '!A3:U3</f>
        <v>As of June 30, 2020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</row>
    <row r="5" spans="1:13" x14ac:dyDescent="0.25">
      <c r="B5" s="2"/>
      <c r="C5" s="2"/>
      <c r="D5" s="2"/>
      <c r="E5" s="67"/>
      <c r="F5" s="2"/>
      <c r="G5" s="67"/>
      <c r="H5" s="6"/>
      <c r="I5" s="67"/>
      <c r="J5" s="6"/>
      <c r="K5" s="68"/>
      <c r="L5" s="6"/>
    </row>
    <row r="6" spans="1:13" ht="65.25" thickBot="1" x14ac:dyDescent="0.3">
      <c r="A6" t="s">
        <v>84</v>
      </c>
      <c r="B6" s="83" t="s">
        <v>3</v>
      </c>
      <c r="C6" s="84"/>
      <c r="D6" s="85" t="s">
        <v>4</v>
      </c>
      <c r="E6" s="86"/>
      <c r="F6" s="85" t="s">
        <v>5</v>
      </c>
      <c r="G6" s="86"/>
      <c r="H6" s="87" t="s">
        <v>6</v>
      </c>
      <c r="I6" s="86"/>
      <c r="J6" s="88" t="s">
        <v>50</v>
      </c>
      <c r="K6" s="89"/>
      <c r="L6" s="87" t="s">
        <v>51</v>
      </c>
      <c r="M6" s="90"/>
    </row>
    <row r="7" spans="1:13" x14ac:dyDescent="0.25">
      <c r="B7" s="90" t="s">
        <v>17</v>
      </c>
      <c r="C7" s="91"/>
      <c r="D7" s="92">
        <f>+'Allocation '!R12</f>
        <v>14251.400000000001</v>
      </c>
      <c r="E7" s="93"/>
      <c r="F7" s="92">
        <v>0</v>
      </c>
      <c r="G7" s="93"/>
      <c r="H7" s="94">
        <f>D7+F7</f>
        <v>14251.400000000001</v>
      </c>
      <c r="I7" s="93"/>
      <c r="J7" s="94">
        <v>0</v>
      </c>
      <c r="K7" s="95"/>
      <c r="L7" s="94">
        <f>H7-J7</f>
        <v>14251.400000000001</v>
      </c>
      <c r="M7" s="90"/>
    </row>
    <row r="8" spans="1:13" x14ac:dyDescent="0.25">
      <c r="B8" s="90" t="s">
        <v>18</v>
      </c>
      <c r="C8" s="91"/>
      <c r="D8" s="92">
        <f>+'Allocation '!R16</f>
        <v>9793.6560000000009</v>
      </c>
      <c r="E8" s="93"/>
      <c r="F8" s="92">
        <v>0</v>
      </c>
      <c r="G8" s="93"/>
      <c r="H8" s="94">
        <f>D8+F8</f>
        <v>9793.6560000000009</v>
      </c>
      <c r="I8" s="93"/>
      <c r="J8" s="94">
        <v>0</v>
      </c>
      <c r="K8" s="95"/>
      <c r="L8" s="94">
        <f>H8-J8</f>
        <v>9793.6560000000009</v>
      </c>
      <c r="M8" s="90"/>
    </row>
    <row r="9" spans="1:13" x14ac:dyDescent="0.25">
      <c r="B9" s="96" t="s">
        <v>23</v>
      </c>
      <c r="C9" s="91"/>
      <c r="D9" s="97">
        <f>SUM(D7:D8)</f>
        <v>24045.056000000004</v>
      </c>
      <c r="E9" s="93"/>
      <c r="F9" s="97">
        <f>SUM(F7:F8)</f>
        <v>0</v>
      </c>
      <c r="G9" s="93"/>
      <c r="H9" s="98">
        <f>SUM(H7:H8)</f>
        <v>24045.056000000004</v>
      </c>
      <c r="I9" s="93"/>
      <c r="J9" s="98">
        <f>SUM(J7:J8)</f>
        <v>0</v>
      </c>
      <c r="K9" s="95"/>
      <c r="L9" s="98">
        <f>SUM(L7:L8)</f>
        <v>24045.056000000004</v>
      </c>
      <c r="M9" s="90"/>
    </row>
    <row r="10" spans="1:13" x14ac:dyDescent="0.25">
      <c r="B10" s="90"/>
      <c r="C10" s="91"/>
      <c r="D10" s="92"/>
      <c r="E10" s="93"/>
      <c r="F10" s="92"/>
      <c r="G10" s="93"/>
      <c r="H10" s="94"/>
      <c r="I10" s="93"/>
      <c r="J10" s="94"/>
      <c r="K10" s="95"/>
      <c r="L10" s="94"/>
      <c r="M10" s="90"/>
    </row>
    <row r="11" spans="1:13" x14ac:dyDescent="0.25">
      <c r="A11" s="106"/>
      <c r="B11" s="79" t="s">
        <v>24</v>
      </c>
      <c r="C11" s="91"/>
      <c r="D11" s="92">
        <v>2400</v>
      </c>
      <c r="E11" s="93"/>
      <c r="F11" s="92">
        <v>0</v>
      </c>
      <c r="G11" s="93"/>
      <c r="H11" s="94">
        <f>D11+F11</f>
        <v>2400</v>
      </c>
      <c r="I11" s="93"/>
      <c r="J11" s="94">
        <v>2400</v>
      </c>
      <c r="K11" s="95"/>
      <c r="L11" s="94">
        <f t="shared" ref="L11:L56" si="0">H11-J11</f>
        <v>0</v>
      </c>
      <c r="M11" s="90"/>
    </row>
    <row r="12" spans="1:13" x14ac:dyDescent="0.25">
      <c r="A12" s="106">
        <v>43733</v>
      </c>
      <c r="B12" s="79" t="s">
        <v>241</v>
      </c>
      <c r="C12" s="91"/>
      <c r="D12" s="92">
        <v>0</v>
      </c>
      <c r="E12" s="93"/>
      <c r="F12" s="92">
        <v>5000</v>
      </c>
      <c r="G12" s="93"/>
      <c r="H12" s="94">
        <f t="shared" ref="H12:H29" si="1">+D12+F12</f>
        <v>5000</v>
      </c>
      <c r="I12" s="93"/>
      <c r="J12" s="94">
        <v>5000</v>
      </c>
      <c r="K12" s="95"/>
      <c r="L12" s="94">
        <f t="shared" si="0"/>
        <v>0</v>
      </c>
      <c r="M12" s="90"/>
    </row>
    <row r="13" spans="1:13" x14ac:dyDescent="0.25">
      <c r="A13" s="106">
        <v>43754</v>
      </c>
      <c r="B13" s="79" t="s">
        <v>255</v>
      </c>
      <c r="C13" s="91"/>
      <c r="D13" s="92">
        <v>0</v>
      </c>
      <c r="E13" s="93"/>
      <c r="F13" s="92">
        <v>500</v>
      </c>
      <c r="G13" s="93"/>
      <c r="H13" s="94">
        <f t="shared" si="1"/>
        <v>500</v>
      </c>
      <c r="I13" s="93"/>
      <c r="J13" s="94">
        <v>0</v>
      </c>
      <c r="K13" s="95"/>
      <c r="L13" s="94">
        <f t="shared" si="0"/>
        <v>500</v>
      </c>
      <c r="M13" s="90"/>
    </row>
    <row r="14" spans="1:13" x14ac:dyDescent="0.25">
      <c r="A14" s="106">
        <v>43754</v>
      </c>
      <c r="B14" s="79" t="s">
        <v>256</v>
      </c>
      <c r="C14" s="91"/>
      <c r="D14" s="92">
        <v>0</v>
      </c>
      <c r="E14" s="93"/>
      <c r="F14" s="92">
        <v>300</v>
      </c>
      <c r="G14" s="93"/>
      <c r="H14" s="94">
        <f t="shared" si="1"/>
        <v>300</v>
      </c>
      <c r="I14" s="93"/>
      <c r="J14" s="94">
        <v>0</v>
      </c>
      <c r="K14" s="95"/>
      <c r="L14" s="94">
        <f t="shared" si="0"/>
        <v>300</v>
      </c>
      <c r="M14" s="90"/>
    </row>
    <row r="15" spans="1:13" hidden="1" x14ac:dyDescent="0.25">
      <c r="A15" s="106"/>
      <c r="B15" s="79"/>
      <c r="C15" s="91"/>
      <c r="D15" s="92">
        <v>0</v>
      </c>
      <c r="E15" s="93"/>
      <c r="F15" s="92"/>
      <c r="G15" s="93"/>
      <c r="H15" s="94">
        <f t="shared" si="1"/>
        <v>0</v>
      </c>
      <c r="I15" s="93"/>
      <c r="J15" s="94">
        <v>0</v>
      </c>
      <c r="K15" s="95"/>
      <c r="L15" s="94">
        <f t="shared" si="0"/>
        <v>0</v>
      </c>
      <c r="M15" s="90"/>
    </row>
    <row r="16" spans="1:13" hidden="1" x14ac:dyDescent="0.25">
      <c r="A16" s="106"/>
      <c r="B16" s="79"/>
      <c r="C16" s="91"/>
      <c r="D16" s="92">
        <v>0</v>
      </c>
      <c r="E16" s="93"/>
      <c r="F16" s="92"/>
      <c r="G16" s="93"/>
      <c r="H16" s="94">
        <f t="shared" si="1"/>
        <v>0</v>
      </c>
      <c r="I16" s="93"/>
      <c r="J16" s="94">
        <v>0</v>
      </c>
      <c r="K16" s="95"/>
      <c r="L16" s="94">
        <f t="shared" si="0"/>
        <v>0</v>
      </c>
      <c r="M16" s="90"/>
    </row>
    <row r="17" spans="1:13" hidden="1" x14ac:dyDescent="0.25">
      <c r="A17" s="106"/>
      <c r="B17" s="90"/>
      <c r="C17" s="91"/>
      <c r="D17" s="92">
        <v>0</v>
      </c>
      <c r="E17" s="93"/>
      <c r="F17" s="92"/>
      <c r="G17" s="93"/>
      <c r="H17" s="94">
        <f t="shared" si="1"/>
        <v>0</v>
      </c>
      <c r="I17" s="93"/>
      <c r="J17" s="94">
        <v>0</v>
      </c>
      <c r="K17" s="95"/>
      <c r="L17" s="94">
        <f t="shared" si="0"/>
        <v>0</v>
      </c>
      <c r="M17" s="107"/>
    </row>
    <row r="18" spans="1:13" hidden="1" x14ac:dyDescent="0.25">
      <c r="A18" s="106"/>
      <c r="B18" s="90"/>
      <c r="C18" s="91"/>
      <c r="D18" s="92">
        <v>0</v>
      </c>
      <c r="E18" s="93"/>
      <c r="F18" s="92"/>
      <c r="G18" s="93"/>
      <c r="H18" s="94">
        <f t="shared" si="1"/>
        <v>0</v>
      </c>
      <c r="I18" s="93"/>
      <c r="J18" s="94">
        <v>0</v>
      </c>
      <c r="K18" s="95"/>
      <c r="L18" s="94">
        <f t="shared" si="0"/>
        <v>0</v>
      </c>
      <c r="M18" s="107"/>
    </row>
    <row r="19" spans="1:13" hidden="1" x14ac:dyDescent="0.25">
      <c r="A19" s="106"/>
      <c r="B19" s="90"/>
      <c r="C19" s="91"/>
      <c r="D19" s="92">
        <v>0</v>
      </c>
      <c r="E19" s="93"/>
      <c r="F19" s="92"/>
      <c r="G19" s="93"/>
      <c r="H19" s="94">
        <f t="shared" si="1"/>
        <v>0</v>
      </c>
      <c r="I19" s="93"/>
      <c r="J19" s="94">
        <v>0</v>
      </c>
      <c r="K19" s="95"/>
      <c r="L19" s="94">
        <f t="shared" si="0"/>
        <v>0</v>
      </c>
      <c r="M19" s="107"/>
    </row>
    <row r="20" spans="1:13" hidden="1" x14ac:dyDescent="0.25">
      <c r="A20" s="106"/>
      <c r="B20" s="90"/>
      <c r="C20" s="91"/>
      <c r="D20" s="92">
        <v>0</v>
      </c>
      <c r="E20" s="93"/>
      <c r="F20" s="92"/>
      <c r="G20" s="93"/>
      <c r="H20" s="94">
        <f t="shared" si="1"/>
        <v>0</v>
      </c>
      <c r="I20" s="93"/>
      <c r="J20" s="94">
        <v>0</v>
      </c>
      <c r="K20" s="95"/>
      <c r="L20" s="94">
        <f t="shared" si="0"/>
        <v>0</v>
      </c>
      <c r="M20" s="107"/>
    </row>
    <row r="21" spans="1:13" hidden="1" x14ac:dyDescent="0.25">
      <c r="A21" s="106"/>
      <c r="B21" s="90"/>
      <c r="C21" s="91"/>
      <c r="D21" s="92">
        <v>0</v>
      </c>
      <c r="E21" s="93"/>
      <c r="F21" s="92"/>
      <c r="G21" s="93"/>
      <c r="H21" s="94">
        <f t="shared" si="1"/>
        <v>0</v>
      </c>
      <c r="I21" s="93"/>
      <c r="J21" s="94">
        <v>0</v>
      </c>
      <c r="K21" s="95"/>
      <c r="L21" s="94">
        <f t="shared" si="0"/>
        <v>0</v>
      </c>
      <c r="M21" s="107"/>
    </row>
    <row r="22" spans="1:13" hidden="1" x14ac:dyDescent="0.25">
      <c r="A22" s="106"/>
      <c r="B22" s="90"/>
      <c r="C22" s="91"/>
      <c r="D22" s="92">
        <v>0</v>
      </c>
      <c r="E22" s="93"/>
      <c r="F22" s="92"/>
      <c r="G22" s="93"/>
      <c r="H22" s="94">
        <f t="shared" si="1"/>
        <v>0</v>
      </c>
      <c r="I22" s="93"/>
      <c r="J22" s="94">
        <v>0</v>
      </c>
      <c r="K22" s="95"/>
      <c r="L22" s="94">
        <f t="shared" si="0"/>
        <v>0</v>
      </c>
      <c r="M22" s="107"/>
    </row>
    <row r="23" spans="1:13" hidden="1" x14ac:dyDescent="0.25">
      <c r="A23" s="106"/>
      <c r="B23" s="90"/>
      <c r="C23" s="91"/>
      <c r="D23" s="92">
        <v>0</v>
      </c>
      <c r="E23" s="93"/>
      <c r="F23" s="92"/>
      <c r="G23" s="93"/>
      <c r="H23" s="94">
        <f t="shared" si="1"/>
        <v>0</v>
      </c>
      <c r="I23" s="93"/>
      <c r="J23" s="94">
        <v>0</v>
      </c>
      <c r="K23" s="95"/>
      <c r="L23" s="94">
        <f t="shared" si="0"/>
        <v>0</v>
      </c>
      <c r="M23" s="107"/>
    </row>
    <row r="24" spans="1:13" hidden="1" x14ac:dyDescent="0.25">
      <c r="A24" s="106"/>
      <c r="B24" s="90"/>
      <c r="C24" s="91"/>
      <c r="D24" s="92">
        <v>0</v>
      </c>
      <c r="E24" s="93"/>
      <c r="F24" s="92"/>
      <c r="G24" s="93"/>
      <c r="H24" s="94">
        <f t="shared" ref="H24" si="2">+D24+F24</f>
        <v>0</v>
      </c>
      <c r="I24" s="93"/>
      <c r="J24" s="94">
        <v>0</v>
      </c>
      <c r="K24" s="95"/>
      <c r="L24" s="94">
        <f t="shared" ref="L24" si="3">H24-J24</f>
        <v>0</v>
      </c>
      <c r="M24" s="107"/>
    </row>
    <row r="25" spans="1:13" hidden="1" x14ac:dyDescent="0.25">
      <c r="A25" s="106"/>
      <c r="B25" s="90"/>
      <c r="C25" s="91"/>
      <c r="D25" s="92">
        <v>0</v>
      </c>
      <c r="E25" s="93"/>
      <c r="F25" s="92"/>
      <c r="G25" s="93"/>
      <c r="H25" s="94">
        <f t="shared" si="1"/>
        <v>0</v>
      </c>
      <c r="I25" s="93"/>
      <c r="J25" s="94">
        <v>0</v>
      </c>
      <c r="K25" s="95"/>
      <c r="L25" s="94">
        <f t="shared" si="0"/>
        <v>0</v>
      </c>
      <c r="M25" s="107"/>
    </row>
    <row r="26" spans="1:13" hidden="1" x14ac:dyDescent="0.25">
      <c r="A26" s="106"/>
      <c r="B26" s="90"/>
      <c r="C26" s="91"/>
      <c r="D26" s="92">
        <v>0</v>
      </c>
      <c r="E26" s="93"/>
      <c r="F26" s="92"/>
      <c r="G26" s="93"/>
      <c r="H26" s="94">
        <f t="shared" si="1"/>
        <v>0</v>
      </c>
      <c r="I26" s="93"/>
      <c r="J26" s="94">
        <v>0</v>
      </c>
      <c r="K26" s="95"/>
      <c r="L26" s="94">
        <f t="shared" si="0"/>
        <v>0</v>
      </c>
      <c r="M26" s="107"/>
    </row>
    <row r="27" spans="1:13" hidden="1" x14ac:dyDescent="0.25">
      <c r="A27" s="106"/>
      <c r="B27" s="90"/>
      <c r="C27" s="91"/>
      <c r="D27" s="92">
        <v>0</v>
      </c>
      <c r="E27" s="93"/>
      <c r="F27" s="92"/>
      <c r="G27" s="93"/>
      <c r="H27" s="94">
        <f t="shared" si="1"/>
        <v>0</v>
      </c>
      <c r="I27" s="93"/>
      <c r="J27" s="94">
        <v>0</v>
      </c>
      <c r="K27" s="95"/>
      <c r="L27" s="94">
        <f t="shared" si="0"/>
        <v>0</v>
      </c>
      <c r="M27" s="107"/>
    </row>
    <row r="28" spans="1:13" hidden="1" x14ac:dyDescent="0.25">
      <c r="A28" s="106"/>
      <c r="B28" s="90"/>
      <c r="C28" s="91"/>
      <c r="D28" s="92">
        <v>0</v>
      </c>
      <c r="E28" s="93"/>
      <c r="F28" s="92"/>
      <c r="G28" s="93"/>
      <c r="H28" s="94">
        <f t="shared" si="1"/>
        <v>0</v>
      </c>
      <c r="I28" s="93"/>
      <c r="J28" s="94">
        <v>0</v>
      </c>
      <c r="K28" s="95"/>
      <c r="L28" s="94">
        <f t="shared" si="0"/>
        <v>0</v>
      </c>
      <c r="M28" s="107"/>
    </row>
    <row r="29" spans="1:13" hidden="1" x14ac:dyDescent="0.25">
      <c r="A29" s="106"/>
      <c r="B29" s="90"/>
      <c r="C29" s="91"/>
      <c r="D29" s="92">
        <v>0</v>
      </c>
      <c r="E29" s="93"/>
      <c r="F29" s="92"/>
      <c r="G29" s="93"/>
      <c r="H29" s="94">
        <f t="shared" si="1"/>
        <v>0</v>
      </c>
      <c r="I29" s="93"/>
      <c r="J29" s="94">
        <v>0</v>
      </c>
      <c r="K29" s="95"/>
      <c r="L29" s="94">
        <f t="shared" si="0"/>
        <v>0</v>
      </c>
      <c r="M29" s="107"/>
    </row>
    <row r="30" spans="1:13" hidden="1" x14ac:dyDescent="0.25">
      <c r="A30" s="106"/>
      <c r="B30" s="90"/>
      <c r="C30" s="91"/>
      <c r="D30" s="92">
        <v>0</v>
      </c>
      <c r="E30" s="93"/>
      <c r="F30" s="92"/>
      <c r="G30" s="93"/>
      <c r="H30" s="94">
        <f>D30+F30</f>
        <v>0</v>
      </c>
      <c r="I30" s="93"/>
      <c r="J30" s="94">
        <v>0</v>
      </c>
      <c r="K30" s="95"/>
      <c r="L30" s="94">
        <f t="shared" si="0"/>
        <v>0</v>
      </c>
      <c r="M30" s="107"/>
    </row>
    <row r="31" spans="1:13" hidden="1" x14ac:dyDescent="0.25">
      <c r="A31" s="106"/>
      <c r="B31" s="90"/>
      <c r="C31" s="91"/>
      <c r="D31" s="92">
        <v>0</v>
      </c>
      <c r="E31" s="93"/>
      <c r="F31" s="92"/>
      <c r="G31" s="93"/>
      <c r="H31" s="94">
        <f>D31+F31</f>
        <v>0</v>
      </c>
      <c r="I31" s="93"/>
      <c r="J31" s="94">
        <v>0</v>
      </c>
      <c r="K31" s="95"/>
      <c r="L31" s="94">
        <f t="shared" si="0"/>
        <v>0</v>
      </c>
      <c r="M31" s="107"/>
    </row>
    <row r="32" spans="1:13" hidden="1" x14ac:dyDescent="0.25">
      <c r="A32" s="106"/>
      <c r="B32" s="90"/>
      <c r="C32" s="91"/>
      <c r="D32" s="92">
        <v>0</v>
      </c>
      <c r="E32" s="93"/>
      <c r="F32" s="92"/>
      <c r="G32" s="93"/>
      <c r="H32" s="94">
        <f>D32+F32</f>
        <v>0</v>
      </c>
      <c r="I32" s="93"/>
      <c r="J32" s="94">
        <v>0</v>
      </c>
      <c r="K32" s="95"/>
      <c r="L32" s="94">
        <f>H32-J32</f>
        <v>0</v>
      </c>
      <c r="M32" s="107"/>
    </row>
    <row r="33" spans="1:13" hidden="1" x14ac:dyDescent="0.25">
      <c r="A33" s="106"/>
      <c r="B33" s="90"/>
      <c r="C33" s="91"/>
      <c r="D33" s="92">
        <v>0</v>
      </c>
      <c r="E33" s="93"/>
      <c r="F33" s="92"/>
      <c r="G33" s="93"/>
      <c r="H33" s="94">
        <f>D33+F33</f>
        <v>0</v>
      </c>
      <c r="I33" s="93"/>
      <c r="J33" s="94">
        <v>0</v>
      </c>
      <c r="K33" s="95"/>
      <c r="L33" s="94">
        <f>H33-J33</f>
        <v>0</v>
      </c>
      <c r="M33" s="107"/>
    </row>
    <row r="34" spans="1:13" hidden="1" x14ac:dyDescent="0.25">
      <c r="A34" s="106"/>
      <c r="B34" s="90"/>
      <c r="C34" s="91"/>
      <c r="D34" s="92">
        <v>0</v>
      </c>
      <c r="E34" s="93"/>
      <c r="F34" s="92"/>
      <c r="G34" s="93"/>
      <c r="H34" s="94">
        <f t="shared" ref="H34:H35" si="4">+D34+F34</f>
        <v>0</v>
      </c>
      <c r="I34" s="93"/>
      <c r="J34" s="94">
        <v>0</v>
      </c>
      <c r="K34" s="95"/>
      <c r="L34" s="94">
        <f t="shared" ref="L34:L37" si="5">H34-J34</f>
        <v>0</v>
      </c>
      <c r="M34" s="107"/>
    </row>
    <row r="35" spans="1:13" hidden="1" x14ac:dyDescent="0.25">
      <c r="A35" s="106"/>
      <c r="B35" s="90"/>
      <c r="C35" s="91"/>
      <c r="D35" s="92">
        <v>0</v>
      </c>
      <c r="E35" s="93"/>
      <c r="F35" s="92"/>
      <c r="G35" s="93"/>
      <c r="H35" s="94">
        <f t="shared" si="4"/>
        <v>0</v>
      </c>
      <c r="I35" s="93"/>
      <c r="J35" s="94">
        <v>0</v>
      </c>
      <c r="K35" s="95"/>
      <c r="L35" s="94">
        <f t="shared" si="5"/>
        <v>0</v>
      </c>
      <c r="M35" s="107"/>
    </row>
    <row r="36" spans="1:13" hidden="1" x14ac:dyDescent="0.25">
      <c r="A36" s="106"/>
      <c r="B36" s="90"/>
      <c r="C36" s="91"/>
      <c r="D36" s="92">
        <v>0</v>
      </c>
      <c r="E36" s="93"/>
      <c r="F36" s="92"/>
      <c r="G36" s="93"/>
      <c r="H36" s="94">
        <f>D36+F36</f>
        <v>0</v>
      </c>
      <c r="I36" s="93"/>
      <c r="J36" s="94">
        <v>0</v>
      </c>
      <c r="K36" s="95"/>
      <c r="L36" s="94">
        <f t="shared" si="5"/>
        <v>0</v>
      </c>
      <c r="M36" s="107"/>
    </row>
    <row r="37" spans="1:13" hidden="1" x14ac:dyDescent="0.25">
      <c r="A37" s="106"/>
      <c r="B37" s="90"/>
      <c r="C37" s="91"/>
      <c r="D37" s="92">
        <v>0</v>
      </c>
      <c r="E37" s="93"/>
      <c r="F37" s="92"/>
      <c r="G37" s="93"/>
      <c r="H37" s="94">
        <f>D37+F37</f>
        <v>0</v>
      </c>
      <c r="I37" s="93"/>
      <c r="J37" s="94">
        <v>0</v>
      </c>
      <c r="K37" s="95"/>
      <c r="L37" s="94">
        <f t="shared" si="5"/>
        <v>0</v>
      </c>
      <c r="M37" s="107"/>
    </row>
    <row r="38" spans="1:13" hidden="1" x14ac:dyDescent="0.25">
      <c r="A38" s="106"/>
      <c r="B38" s="90"/>
      <c r="C38" s="91"/>
      <c r="D38" s="92">
        <v>0</v>
      </c>
      <c r="E38" s="93"/>
      <c r="F38" s="92"/>
      <c r="G38" s="93"/>
      <c r="H38" s="94">
        <f>D38+F38</f>
        <v>0</v>
      </c>
      <c r="I38" s="93"/>
      <c r="J38" s="94">
        <v>0</v>
      </c>
      <c r="K38" s="95"/>
      <c r="L38" s="94">
        <f t="shared" si="0"/>
        <v>0</v>
      </c>
      <c r="M38" s="107"/>
    </row>
    <row r="39" spans="1:13" hidden="1" x14ac:dyDescent="0.25">
      <c r="A39" s="106"/>
      <c r="B39" s="90"/>
      <c r="C39" s="91"/>
      <c r="D39" s="92">
        <v>0</v>
      </c>
      <c r="E39" s="93"/>
      <c r="F39" s="92"/>
      <c r="G39" s="93"/>
      <c r="H39" s="94">
        <f>D39+F39</f>
        <v>0</v>
      </c>
      <c r="I39" s="93"/>
      <c r="J39" s="94">
        <v>0</v>
      </c>
      <c r="K39" s="95"/>
      <c r="L39" s="94">
        <f t="shared" si="0"/>
        <v>0</v>
      </c>
      <c r="M39" s="107"/>
    </row>
    <row r="40" spans="1:13" hidden="1" x14ac:dyDescent="0.25">
      <c r="A40" s="106"/>
      <c r="B40" s="90"/>
      <c r="C40" s="91"/>
      <c r="D40" s="92">
        <v>0</v>
      </c>
      <c r="E40" s="93"/>
      <c r="F40" s="92"/>
      <c r="G40" s="93"/>
      <c r="H40" s="94">
        <f>+D40+F40</f>
        <v>0</v>
      </c>
      <c r="I40" s="93"/>
      <c r="J40" s="94">
        <v>0</v>
      </c>
      <c r="K40" s="95"/>
      <c r="L40" s="94">
        <f t="shared" si="0"/>
        <v>0</v>
      </c>
      <c r="M40" s="107"/>
    </row>
    <row r="41" spans="1:13" hidden="1" x14ac:dyDescent="0.25">
      <c r="A41" s="106"/>
      <c r="B41" s="90"/>
      <c r="C41" s="91"/>
      <c r="D41" s="92">
        <v>0</v>
      </c>
      <c r="E41" s="93"/>
      <c r="F41" s="92"/>
      <c r="G41" s="93"/>
      <c r="H41" s="94">
        <f>+D41+F41</f>
        <v>0</v>
      </c>
      <c r="I41" s="93"/>
      <c r="J41" s="94">
        <v>0</v>
      </c>
      <c r="K41" s="95"/>
      <c r="L41" s="94">
        <f t="shared" si="0"/>
        <v>0</v>
      </c>
      <c r="M41" s="107"/>
    </row>
    <row r="42" spans="1:13" hidden="1" x14ac:dyDescent="0.25">
      <c r="A42" s="106"/>
      <c r="B42" s="90"/>
      <c r="C42" s="91"/>
      <c r="D42" s="92">
        <v>0</v>
      </c>
      <c r="E42" s="93"/>
      <c r="F42" s="92"/>
      <c r="G42" s="93"/>
      <c r="H42" s="94">
        <f>+D42+F42</f>
        <v>0</v>
      </c>
      <c r="I42" s="93"/>
      <c r="J42" s="94">
        <v>0</v>
      </c>
      <c r="K42" s="95"/>
      <c r="L42" s="94">
        <f t="shared" si="0"/>
        <v>0</v>
      </c>
      <c r="M42" s="107"/>
    </row>
    <row r="43" spans="1:13" hidden="1" x14ac:dyDescent="0.25">
      <c r="A43" s="106"/>
      <c r="B43" s="90"/>
      <c r="C43" s="91"/>
      <c r="D43" s="92">
        <v>0</v>
      </c>
      <c r="E43" s="93"/>
      <c r="F43" s="92"/>
      <c r="G43" s="93"/>
      <c r="H43" s="94">
        <f>D43+F43</f>
        <v>0</v>
      </c>
      <c r="I43" s="93"/>
      <c r="J43" s="94">
        <v>0</v>
      </c>
      <c r="K43" s="95"/>
      <c r="L43" s="94">
        <f t="shared" si="0"/>
        <v>0</v>
      </c>
      <c r="M43" s="107"/>
    </row>
    <row r="44" spans="1:13" hidden="1" x14ac:dyDescent="0.25">
      <c r="A44" s="106"/>
      <c r="B44" s="90"/>
      <c r="C44" s="91"/>
      <c r="D44" s="92">
        <v>0</v>
      </c>
      <c r="E44" s="93"/>
      <c r="F44" s="92"/>
      <c r="G44" s="93"/>
      <c r="H44" s="94">
        <f>+D44+F44</f>
        <v>0</v>
      </c>
      <c r="I44" s="93"/>
      <c r="J44" s="94">
        <v>0</v>
      </c>
      <c r="K44" s="95"/>
      <c r="L44" s="94">
        <f>H44-J44</f>
        <v>0</v>
      </c>
      <c r="M44" s="107"/>
    </row>
    <row r="45" spans="1:13" hidden="1" x14ac:dyDescent="0.25">
      <c r="A45" s="106"/>
      <c r="B45" s="90"/>
      <c r="C45" s="91"/>
      <c r="D45" s="92">
        <v>0</v>
      </c>
      <c r="E45" s="93"/>
      <c r="F45" s="92"/>
      <c r="G45" s="93"/>
      <c r="H45" s="94">
        <f>+D45+F45</f>
        <v>0</v>
      </c>
      <c r="I45" s="93"/>
      <c r="J45" s="94">
        <v>0</v>
      </c>
      <c r="K45" s="95"/>
      <c r="L45" s="94">
        <f>H45-J45</f>
        <v>0</v>
      </c>
      <c r="M45" s="107"/>
    </row>
    <row r="46" spans="1:13" hidden="1" x14ac:dyDescent="0.25">
      <c r="A46" s="106"/>
      <c r="B46" s="90"/>
      <c r="C46" s="91"/>
      <c r="D46" s="92">
        <v>0</v>
      </c>
      <c r="E46" s="93"/>
      <c r="F46" s="92"/>
      <c r="G46" s="93"/>
      <c r="H46" s="94">
        <f>+D46+F46</f>
        <v>0</v>
      </c>
      <c r="I46" s="93"/>
      <c r="J46" s="94">
        <v>0</v>
      </c>
      <c r="K46" s="95"/>
      <c r="L46" s="94">
        <f>H46-J46</f>
        <v>0</v>
      </c>
      <c r="M46" s="107"/>
    </row>
    <row r="47" spans="1:13" hidden="1" x14ac:dyDescent="0.25">
      <c r="A47" s="106"/>
      <c r="B47" s="90"/>
      <c r="C47" s="91"/>
      <c r="D47" s="92">
        <v>0</v>
      </c>
      <c r="E47" s="93"/>
      <c r="F47" s="92"/>
      <c r="G47" s="93"/>
      <c r="H47" s="94">
        <f>D47+F47</f>
        <v>0</v>
      </c>
      <c r="I47" s="93"/>
      <c r="J47" s="94">
        <v>0</v>
      </c>
      <c r="K47" s="95"/>
      <c r="L47" s="94">
        <f>H47-J47</f>
        <v>0</v>
      </c>
      <c r="M47" s="107"/>
    </row>
    <row r="48" spans="1:13" hidden="1" x14ac:dyDescent="0.25">
      <c r="A48" s="106"/>
      <c r="B48" s="90"/>
      <c r="C48" s="91"/>
      <c r="D48" s="92">
        <v>0</v>
      </c>
      <c r="E48" s="93"/>
      <c r="F48" s="92"/>
      <c r="G48" s="93"/>
      <c r="H48" s="94">
        <f>D48+F48</f>
        <v>0</v>
      </c>
      <c r="I48" s="93"/>
      <c r="J48" s="94">
        <v>0</v>
      </c>
      <c r="K48" s="95"/>
      <c r="L48" s="94">
        <f t="shared" ref="L48" si="6">H48-J48</f>
        <v>0</v>
      </c>
      <c r="M48" s="107"/>
    </row>
    <row r="49" spans="1:14" hidden="1" x14ac:dyDescent="0.25">
      <c r="A49" s="106"/>
      <c r="B49" s="90"/>
      <c r="C49" s="91"/>
      <c r="D49" s="92">
        <v>0</v>
      </c>
      <c r="E49" s="93"/>
      <c r="F49" s="92"/>
      <c r="G49" s="93"/>
      <c r="H49" s="94">
        <f>D49+F49</f>
        <v>0</v>
      </c>
      <c r="I49" s="93"/>
      <c r="J49" s="94">
        <v>0</v>
      </c>
      <c r="K49" s="95"/>
      <c r="L49" s="94">
        <f t="shared" si="0"/>
        <v>0</v>
      </c>
      <c r="M49" s="107"/>
    </row>
    <row r="50" spans="1:14" hidden="1" x14ac:dyDescent="0.25">
      <c r="A50" s="106"/>
      <c r="B50" s="90"/>
      <c r="C50" s="91"/>
      <c r="D50" s="92">
        <v>0</v>
      </c>
      <c r="E50" s="93"/>
      <c r="F50" s="92"/>
      <c r="G50" s="93"/>
      <c r="H50" s="94">
        <f>+D50+F50</f>
        <v>0</v>
      </c>
      <c r="I50" s="93"/>
      <c r="J50" s="94">
        <v>0</v>
      </c>
      <c r="K50" s="95"/>
      <c r="L50" s="94">
        <f t="shared" si="0"/>
        <v>0</v>
      </c>
      <c r="M50" s="107"/>
    </row>
    <row r="51" spans="1:14" hidden="1" x14ac:dyDescent="0.25">
      <c r="A51" s="106"/>
      <c r="B51" s="90"/>
      <c r="C51" s="91"/>
      <c r="D51" s="92">
        <v>0</v>
      </c>
      <c r="E51" s="93"/>
      <c r="F51" s="92"/>
      <c r="G51" s="93"/>
      <c r="H51" s="94">
        <f>+D51+F51</f>
        <v>0</v>
      </c>
      <c r="I51" s="93"/>
      <c r="J51" s="94">
        <v>0</v>
      </c>
      <c r="K51" s="95"/>
      <c r="L51" s="94">
        <f t="shared" si="0"/>
        <v>0</v>
      </c>
      <c r="M51" s="107"/>
    </row>
    <row r="52" spans="1:14" hidden="1" x14ac:dyDescent="0.25">
      <c r="A52" s="106"/>
      <c r="B52" s="90"/>
      <c r="C52" s="91"/>
      <c r="D52" s="92">
        <v>0</v>
      </c>
      <c r="E52" s="93"/>
      <c r="F52" s="92"/>
      <c r="G52" s="93"/>
      <c r="H52" s="94">
        <f>+D52+F52</f>
        <v>0</v>
      </c>
      <c r="I52" s="93"/>
      <c r="J52" s="94">
        <v>0</v>
      </c>
      <c r="K52" s="95"/>
      <c r="L52" s="94">
        <f t="shared" si="0"/>
        <v>0</v>
      </c>
      <c r="M52" s="107"/>
    </row>
    <row r="53" spans="1:14" hidden="1" x14ac:dyDescent="0.25">
      <c r="A53" s="106"/>
      <c r="B53" s="90"/>
      <c r="C53" s="91"/>
      <c r="D53" s="92">
        <v>0</v>
      </c>
      <c r="E53" s="93"/>
      <c r="F53" s="92"/>
      <c r="G53" s="93"/>
      <c r="H53" s="94">
        <f t="shared" ref="H53:H55" si="7">+D53+F53</f>
        <v>0</v>
      </c>
      <c r="I53" s="93"/>
      <c r="J53" s="94">
        <v>0</v>
      </c>
      <c r="K53" s="95"/>
      <c r="L53" s="94">
        <f t="shared" si="0"/>
        <v>0</v>
      </c>
      <c r="M53" s="107"/>
    </row>
    <row r="54" spans="1:14" hidden="1" x14ac:dyDescent="0.25">
      <c r="A54" s="106"/>
      <c r="B54" s="90"/>
      <c r="C54" s="91"/>
      <c r="D54" s="92">
        <v>0</v>
      </c>
      <c r="E54" s="93"/>
      <c r="F54" s="92"/>
      <c r="G54" s="93"/>
      <c r="H54" s="94">
        <f t="shared" si="7"/>
        <v>0</v>
      </c>
      <c r="I54" s="93"/>
      <c r="J54" s="94">
        <v>0</v>
      </c>
      <c r="K54" s="95"/>
      <c r="L54" s="94">
        <f t="shared" si="0"/>
        <v>0</v>
      </c>
      <c r="M54" s="107"/>
    </row>
    <row r="55" spans="1:14" hidden="1" x14ac:dyDescent="0.25">
      <c r="A55" s="106"/>
      <c r="B55" s="90"/>
      <c r="C55" s="91"/>
      <c r="D55" s="92">
        <v>0</v>
      </c>
      <c r="E55" s="93"/>
      <c r="F55" s="92"/>
      <c r="G55" s="93"/>
      <c r="H55" s="94">
        <f t="shared" si="7"/>
        <v>0</v>
      </c>
      <c r="I55" s="93"/>
      <c r="J55" s="94">
        <v>0</v>
      </c>
      <c r="K55" s="95"/>
      <c r="L55" s="94">
        <f t="shared" si="0"/>
        <v>0</v>
      </c>
      <c r="M55" s="107"/>
    </row>
    <row r="56" spans="1:14" hidden="1" x14ac:dyDescent="0.25">
      <c r="A56" s="106"/>
      <c r="B56" s="79"/>
      <c r="C56" s="91"/>
      <c r="D56" s="92">
        <v>0</v>
      </c>
      <c r="E56" s="93"/>
      <c r="F56" s="92"/>
      <c r="G56" s="93"/>
      <c r="H56" s="94">
        <f>+D56+F56</f>
        <v>0</v>
      </c>
      <c r="I56" s="93"/>
      <c r="J56" s="94">
        <v>0</v>
      </c>
      <c r="K56" s="95"/>
      <c r="L56" s="94">
        <f t="shared" si="0"/>
        <v>0</v>
      </c>
      <c r="M56" s="107"/>
    </row>
    <row r="57" spans="1:14" x14ac:dyDescent="0.25">
      <c r="A57" s="90"/>
      <c r="B57" s="82" t="s">
        <v>96</v>
      </c>
      <c r="C57" s="91"/>
      <c r="D57" s="97">
        <v>0</v>
      </c>
      <c r="E57" s="93"/>
      <c r="F57" s="97">
        <f>SUM(F11:F56)</f>
        <v>5800</v>
      </c>
      <c r="G57" s="93"/>
      <c r="H57" s="97">
        <f>SUM(H11:H56)</f>
        <v>8200</v>
      </c>
      <c r="I57" s="93"/>
      <c r="J57" s="97">
        <f>SUM(J12:J56)</f>
        <v>5000</v>
      </c>
      <c r="K57" s="95"/>
      <c r="L57" s="97">
        <f>SUM(L12:L56)</f>
        <v>800</v>
      </c>
      <c r="M57" s="107"/>
      <c r="N57" s="47"/>
    </row>
    <row r="58" spans="1:14" x14ac:dyDescent="0.25">
      <c r="B58" s="82" t="s">
        <v>44</v>
      </c>
      <c r="C58" s="91"/>
      <c r="D58" s="97">
        <f>D11+D57</f>
        <v>2400</v>
      </c>
      <c r="E58" s="93"/>
      <c r="F58" s="97">
        <f>F11+F57</f>
        <v>5800</v>
      </c>
      <c r="G58" s="93"/>
      <c r="H58" s="97">
        <f>+H57+H11</f>
        <v>10600</v>
      </c>
      <c r="I58" s="93"/>
      <c r="J58" s="97">
        <f>+J57+J11</f>
        <v>7400</v>
      </c>
      <c r="K58" s="93"/>
      <c r="L58" s="97">
        <f>L11+L57</f>
        <v>800</v>
      </c>
      <c r="M58" s="107"/>
    </row>
    <row r="59" spans="1:14" x14ac:dyDescent="0.25">
      <c r="B59" s="82" t="s">
        <v>45</v>
      </c>
      <c r="C59" s="91"/>
      <c r="D59" s="97">
        <f>D9-D58</f>
        <v>21645.056000000004</v>
      </c>
      <c r="E59" s="93"/>
      <c r="F59" s="108"/>
      <c r="G59" s="93"/>
      <c r="H59" s="97">
        <f>H9-H58</f>
        <v>13445.056000000004</v>
      </c>
      <c r="I59" s="93"/>
      <c r="J59" s="108"/>
      <c r="K59" s="93"/>
      <c r="L59" s="108"/>
      <c r="M59" s="107"/>
    </row>
    <row r="60" spans="1:14" x14ac:dyDescent="0.25">
      <c r="B60" s="90"/>
      <c r="C60" s="91"/>
      <c r="D60" s="90"/>
      <c r="E60" s="91"/>
      <c r="F60" s="91"/>
      <c r="G60" s="91"/>
      <c r="H60" s="104"/>
      <c r="I60" s="91"/>
      <c r="J60" s="109"/>
      <c r="K60" s="103"/>
      <c r="L60" s="103"/>
      <c r="M60" s="90"/>
    </row>
    <row r="62" spans="1:14" hidden="1" x14ac:dyDescent="0.25">
      <c r="F62">
        <f>19368-19071</f>
        <v>297</v>
      </c>
    </row>
  </sheetData>
  <mergeCells count="4">
    <mergeCell ref="A1:L1"/>
    <mergeCell ref="A2:L2"/>
    <mergeCell ref="A3:L3"/>
    <mergeCell ref="A4:L4"/>
  </mergeCells>
  <printOptions horizontalCentered="1"/>
  <pageMargins left="0.25" right="0.25" top="0.25" bottom="0.3" header="0.3" footer="0"/>
  <pageSetup orientation="landscape" r:id="rId1"/>
  <headerFooter scaleWithDoc="0">
    <firstFooter>&amp;R
&amp;P&amp;N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V33"/>
  <sheetViews>
    <sheetView topLeftCell="A2" workbookViewId="0">
      <selection activeCell="K14" sqref="K14"/>
    </sheetView>
  </sheetViews>
  <sheetFormatPr defaultRowHeight="15" x14ac:dyDescent="0.25"/>
  <cols>
    <col min="1" max="1" width="41.85546875" bestFit="1" customWidth="1"/>
    <col min="2" max="2" width="7.85546875" customWidth="1"/>
    <col min="3" max="3" width="1.7109375" style="1" customWidth="1"/>
    <col min="4" max="4" width="11.28515625" customWidth="1"/>
    <col min="5" max="5" width="1.7109375" style="1" customWidth="1"/>
    <col min="6" max="6" width="11.5703125" customWidth="1"/>
    <col min="7" max="7" width="1.7109375" style="1" customWidth="1"/>
    <col min="8" max="8" width="11.85546875" style="4" customWidth="1"/>
    <col min="9" max="9" width="1.7109375" style="1" customWidth="1"/>
    <col min="10" max="10" width="14.28515625" style="1" hidden="1" customWidth="1"/>
    <col min="11" max="11" width="14.28515625" style="4" customWidth="1"/>
    <col min="12" max="12" width="1.7109375" style="16" customWidth="1"/>
    <col min="13" max="13" width="10.140625" style="4" customWidth="1"/>
    <col min="15" max="15" width="12.85546875" customWidth="1"/>
    <col min="16" max="16" width="12.42578125" customWidth="1"/>
  </cols>
  <sheetData>
    <row r="1" spans="1:22" hidden="1" x14ac:dyDescent="0.25">
      <c r="A1" s="255" t="s">
        <v>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22" x14ac:dyDescent="0.25">
      <c r="A2" s="255" t="s">
        <v>97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22" x14ac:dyDescent="0.25">
      <c r="A3" s="255" t="s">
        <v>72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22" ht="15.6" customHeight="1" x14ac:dyDescent="0.25">
      <c r="A4" s="255" t="str">
        <f>+'Allocation '!A3:U3</f>
        <v>As of June 30, 2020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</row>
    <row r="5" spans="1:22" x14ac:dyDescent="0.25">
      <c r="A5" s="2"/>
      <c r="B5" s="2"/>
      <c r="C5" s="2"/>
      <c r="D5" s="2"/>
      <c r="E5" s="67"/>
      <c r="F5" s="2"/>
      <c r="G5" s="67"/>
      <c r="H5" s="6"/>
      <c r="I5" s="67"/>
      <c r="J5" s="226"/>
      <c r="K5" s="6"/>
      <c r="L5" s="68"/>
      <c r="M5" s="6"/>
    </row>
    <row r="6" spans="1:22" ht="39.75" thickBot="1" x14ac:dyDescent="0.3">
      <c r="A6" s="83"/>
      <c r="B6" s="84"/>
      <c r="C6" s="84"/>
      <c r="D6" s="85" t="s">
        <v>4</v>
      </c>
      <c r="E6" s="86"/>
      <c r="F6" s="85" t="s">
        <v>5</v>
      </c>
      <c r="G6" s="86"/>
      <c r="H6" s="87" t="s">
        <v>6</v>
      </c>
      <c r="I6" s="86"/>
      <c r="J6" s="88" t="s">
        <v>247</v>
      </c>
      <c r="K6" s="88" t="s">
        <v>248</v>
      </c>
      <c r="L6" s="89"/>
      <c r="M6" s="87" t="s">
        <v>51</v>
      </c>
      <c r="N6" s="90"/>
    </row>
    <row r="7" spans="1:22" x14ac:dyDescent="0.25">
      <c r="A7" s="90" t="s">
        <v>17</v>
      </c>
      <c r="B7" s="90"/>
      <c r="C7" s="91"/>
      <c r="D7" s="92">
        <f>+'Allocation '!S12</f>
        <v>42754.200000000004</v>
      </c>
      <c r="E7" s="93"/>
      <c r="F7" s="92">
        <v>0</v>
      </c>
      <c r="G7" s="93"/>
      <c r="H7" s="94">
        <f>D7+F7</f>
        <v>42754.200000000004</v>
      </c>
      <c r="I7" s="93"/>
      <c r="J7" s="93"/>
      <c r="K7" s="94">
        <v>0</v>
      </c>
      <c r="L7" s="95"/>
      <c r="M7" s="94">
        <f>H7-J7-K7</f>
        <v>42754.200000000004</v>
      </c>
    </row>
    <row r="8" spans="1:22" x14ac:dyDescent="0.25">
      <c r="A8" s="90" t="s">
        <v>18</v>
      </c>
      <c r="B8" s="90"/>
      <c r="C8" s="91"/>
      <c r="D8" s="92">
        <f>+'Allocation '!S16</f>
        <v>29380.968000000001</v>
      </c>
      <c r="E8" s="93"/>
      <c r="F8" s="92">
        <v>0</v>
      </c>
      <c r="G8" s="93"/>
      <c r="H8" s="94">
        <f t="shared" ref="H8:H10" si="0">D8+F8</f>
        <v>29380.968000000001</v>
      </c>
      <c r="I8" s="93"/>
      <c r="J8" s="93"/>
      <c r="K8" s="94">
        <v>0</v>
      </c>
      <c r="L8" s="95"/>
      <c r="M8" s="94">
        <f t="shared" ref="M8:M9" si="1">H8-J8-K8</f>
        <v>29380.968000000001</v>
      </c>
    </row>
    <row r="9" spans="1:22" x14ac:dyDescent="0.25">
      <c r="A9" s="90" t="s">
        <v>22</v>
      </c>
      <c r="B9" s="90"/>
      <c r="C9" s="91"/>
      <c r="D9" s="92">
        <v>0</v>
      </c>
      <c r="E9" s="93"/>
      <c r="F9" s="92">
        <v>74071</v>
      </c>
      <c r="G9" s="93"/>
      <c r="H9" s="94">
        <f t="shared" si="0"/>
        <v>74071</v>
      </c>
      <c r="I9" s="93"/>
      <c r="J9" s="93"/>
      <c r="K9" s="94">
        <v>0</v>
      </c>
      <c r="L9" s="95"/>
      <c r="M9" s="94">
        <f t="shared" si="1"/>
        <v>74071</v>
      </c>
    </row>
    <row r="10" spans="1:22" hidden="1" x14ac:dyDescent="0.25">
      <c r="A10" s="90" t="s">
        <v>159</v>
      </c>
      <c r="B10" s="90"/>
      <c r="C10" s="91"/>
      <c r="D10" s="92">
        <v>0</v>
      </c>
      <c r="E10" s="93"/>
      <c r="F10" s="92">
        <v>0</v>
      </c>
      <c r="G10" s="93"/>
      <c r="H10" s="94">
        <f t="shared" si="0"/>
        <v>0</v>
      </c>
      <c r="I10" s="93"/>
      <c r="J10" s="93"/>
      <c r="K10" s="94">
        <v>0</v>
      </c>
      <c r="L10" s="95"/>
      <c r="M10" s="94">
        <f>+H10+K10</f>
        <v>0</v>
      </c>
    </row>
    <row r="11" spans="1:22" x14ac:dyDescent="0.25">
      <c r="A11" s="96" t="s">
        <v>23</v>
      </c>
      <c r="B11" s="96"/>
      <c r="C11" s="91"/>
      <c r="D11" s="97">
        <f>SUM(D7:D10)</f>
        <v>72135.168000000005</v>
      </c>
      <c r="E11" s="93"/>
      <c r="F11" s="97">
        <f>SUM(F7:F10)</f>
        <v>74071</v>
      </c>
      <c r="G11" s="93"/>
      <c r="H11" s="97">
        <f>SUM(H7:H10)</f>
        <v>146206.16800000001</v>
      </c>
      <c r="I11" s="93"/>
      <c r="J11" s="97">
        <f>SUM(J7:J10)</f>
        <v>0</v>
      </c>
      <c r="K11" s="97">
        <f>SUM(K7:K10)</f>
        <v>0</v>
      </c>
      <c r="L11" s="95"/>
      <c r="M11" s="97">
        <f>SUM(M7:M10)</f>
        <v>146206.16800000001</v>
      </c>
    </row>
    <row r="12" spans="1:22" x14ac:dyDescent="0.25">
      <c r="A12" s="96"/>
      <c r="B12" s="96"/>
      <c r="C12" s="91"/>
      <c r="D12" s="93"/>
      <c r="E12" s="93"/>
      <c r="F12" s="93"/>
      <c r="G12" s="93"/>
      <c r="H12" s="95"/>
      <c r="I12" s="93"/>
      <c r="J12" s="93"/>
      <c r="K12" s="95"/>
      <c r="L12" s="95"/>
      <c r="M12" s="95"/>
      <c r="N12" s="90"/>
      <c r="V12" s="94"/>
    </row>
    <row r="13" spans="1:22" x14ac:dyDescent="0.25">
      <c r="A13" s="79" t="s">
        <v>98</v>
      </c>
      <c r="B13" s="79"/>
      <c r="C13" s="91"/>
      <c r="D13" s="92">
        <v>7000</v>
      </c>
      <c r="E13" s="93"/>
      <c r="F13" s="92">
        <v>0</v>
      </c>
      <c r="G13" s="93"/>
      <c r="H13" s="94">
        <f t="shared" ref="H13:H22" si="2">D13+F13</f>
        <v>7000</v>
      </c>
      <c r="I13" s="93"/>
      <c r="J13" s="93"/>
      <c r="K13" s="94">
        <v>7000</v>
      </c>
      <c r="L13" s="95"/>
      <c r="M13" s="94">
        <f t="shared" ref="M13:M22" si="3">H13-J13-K13</f>
        <v>0</v>
      </c>
      <c r="N13" s="107"/>
      <c r="V13" s="94"/>
    </row>
    <row r="14" spans="1:22" ht="15.75" x14ac:dyDescent="0.25">
      <c r="A14" s="79" t="s">
        <v>99</v>
      </c>
      <c r="B14" s="236" t="s">
        <v>268</v>
      </c>
      <c r="C14" s="91"/>
      <c r="D14" s="92">
        <v>0</v>
      </c>
      <c r="E14" s="93"/>
      <c r="F14" s="92">
        <v>67000</v>
      </c>
      <c r="G14" s="93"/>
      <c r="H14" s="94">
        <f t="shared" si="2"/>
        <v>67000</v>
      </c>
      <c r="I14" s="93"/>
      <c r="J14" s="93"/>
      <c r="K14" s="147">
        <v>56838</v>
      </c>
      <c r="L14" s="95"/>
      <c r="M14" s="94">
        <f t="shared" si="3"/>
        <v>10162</v>
      </c>
      <c r="N14" s="107"/>
      <c r="P14" s="251"/>
      <c r="V14" s="94"/>
    </row>
    <row r="15" spans="1:22" x14ac:dyDescent="0.25">
      <c r="A15" s="79" t="s">
        <v>100</v>
      </c>
      <c r="B15" s="236" t="s">
        <v>269</v>
      </c>
      <c r="C15" s="91"/>
      <c r="D15" s="92">
        <v>0</v>
      </c>
      <c r="E15" s="93"/>
      <c r="F15" s="92">
        <v>6000</v>
      </c>
      <c r="G15" s="93"/>
      <c r="H15" s="94">
        <f t="shared" si="2"/>
        <v>6000</v>
      </c>
      <c r="I15" s="93"/>
      <c r="J15" s="93">
        <v>0</v>
      </c>
      <c r="K15" s="147">
        <v>4818.8</v>
      </c>
      <c r="L15" s="95"/>
      <c r="M15" s="94">
        <f t="shared" si="3"/>
        <v>1181.1999999999998</v>
      </c>
      <c r="N15" s="90"/>
      <c r="V15" s="94"/>
    </row>
    <row r="16" spans="1:22" ht="15" hidden="1" customHeight="1" x14ac:dyDescent="0.25">
      <c r="A16" s="79" t="s">
        <v>101</v>
      </c>
      <c r="B16" s="79"/>
      <c r="C16" s="91"/>
      <c r="D16" s="92">
        <v>0</v>
      </c>
      <c r="E16" s="93"/>
      <c r="F16" s="92">
        <v>0</v>
      </c>
      <c r="G16" s="93"/>
      <c r="H16" s="94">
        <f t="shared" si="2"/>
        <v>0</v>
      </c>
      <c r="I16" s="93"/>
      <c r="J16" s="93"/>
      <c r="K16" s="147">
        <v>0</v>
      </c>
      <c r="L16" s="95"/>
      <c r="M16" s="94">
        <f t="shared" si="3"/>
        <v>0</v>
      </c>
      <c r="N16" s="90"/>
      <c r="V16" s="94"/>
    </row>
    <row r="17" spans="1:22" x14ac:dyDescent="0.25">
      <c r="A17" s="79" t="s">
        <v>102</v>
      </c>
      <c r="B17" s="236" t="s">
        <v>267</v>
      </c>
      <c r="C17" s="91"/>
      <c r="D17" s="92">
        <v>0</v>
      </c>
      <c r="E17" s="93"/>
      <c r="F17" s="92">
        <v>10000</v>
      </c>
      <c r="G17" s="93"/>
      <c r="H17" s="94">
        <f t="shared" si="2"/>
        <v>10000</v>
      </c>
      <c r="I17" s="93"/>
      <c r="J17" s="93"/>
      <c r="K17" s="147">
        <v>19987.400000000001</v>
      </c>
      <c r="L17" s="95"/>
      <c r="M17" s="94">
        <f t="shared" si="3"/>
        <v>-9987.4000000000015</v>
      </c>
      <c r="N17" s="90"/>
      <c r="V17" s="94"/>
    </row>
    <row r="18" spans="1:22" ht="15" hidden="1" customHeight="1" x14ac:dyDescent="0.25">
      <c r="A18" s="79" t="s">
        <v>103</v>
      </c>
      <c r="B18" s="79"/>
      <c r="C18" s="91"/>
      <c r="D18" s="92">
        <v>0</v>
      </c>
      <c r="E18" s="93"/>
      <c r="F18" s="92">
        <v>0</v>
      </c>
      <c r="G18" s="93"/>
      <c r="H18" s="94">
        <f t="shared" si="2"/>
        <v>0</v>
      </c>
      <c r="I18" s="93"/>
      <c r="J18" s="93"/>
      <c r="K18" s="94">
        <v>0</v>
      </c>
      <c r="L18" s="95"/>
      <c r="M18" s="94">
        <f t="shared" si="3"/>
        <v>0</v>
      </c>
      <c r="N18" s="90"/>
      <c r="V18" s="94"/>
    </row>
    <row r="19" spans="1:22" x14ac:dyDescent="0.25">
      <c r="A19" s="79" t="s">
        <v>104</v>
      </c>
      <c r="B19" s="79"/>
      <c r="C19" s="91"/>
      <c r="D19" s="92">
        <v>0</v>
      </c>
      <c r="E19" s="93"/>
      <c r="F19" s="92">
        <v>40000</v>
      </c>
      <c r="G19" s="93"/>
      <c r="H19" s="94">
        <f t="shared" si="2"/>
        <v>40000</v>
      </c>
      <c r="I19" s="93"/>
      <c r="J19" s="93"/>
      <c r="K19" s="94">
        <v>29800</v>
      </c>
      <c r="L19" s="95"/>
      <c r="M19" s="94">
        <f t="shared" si="3"/>
        <v>10200</v>
      </c>
      <c r="N19" s="90"/>
      <c r="V19" s="94"/>
    </row>
    <row r="20" spans="1:22" ht="15.75" x14ac:dyDescent="0.25">
      <c r="A20" s="79" t="s">
        <v>77</v>
      </c>
      <c r="B20" s="79"/>
      <c r="C20" s="91"/>
      <c r="D20" s="92">
        <v>0</v>
      </c>
      <c r="E20" s="93"/>
      <c r="F20" s="92">
        <v>10000</v>
      </c>
      <c r="G20" s="93"/>
      <c r="H20" s="94">
        <f t="shared" si="2"/>
        <v>10000</v>
      </c>
      <c r="I20" s="93"/>
      <c r="J20" s="93">
        <v>0</v>
      </c>
      <c r="K20" s="94">
        <f>1061.96+6881.79</f>
        <v>7943.75</v>
      </c>
      <c r="L20" s="95"/>
      <c r="M20" s="94">
        <f>H20-J20-K20</f>
        <v>2056.25</v>
      </c>
      <c r="N20" s="90"/>
      <c r="P20" s="252"/>
      <c r="V20" s="94"/>
    </row>
    <row r="21" spans="1:22" ht="15.75" x14ac:dyDescent="0.25">
      <c r="A21" s="79" t="s">
        <v>244</v>
      </c>
      <c r="B21" s="79"/>
      <c r="C21" s="91"/>
      <c r="D21" s="92">
        <v>0</v>
      </c>
      <c r="E21" s="93"/>
      <c r="F21" s="92">
        <v>5000</v>
      </c>
      <c r="G21" s="93"/>
      <c r="H21" s="94">
        <f t="shared" si="2"/>
        <v>5000</v>
      </c>
      <c r="I21" s="93"/>
      <c r="J21" s="93"/>
      <c r="K21" s="94">
        <v>603</v>
      </c>
      <c r="L21" s="95"/>
      <c r="M21" s="94">
        <f t="shared" si="3"/>
        <v>4397</v>
      </c>
      <c r="N21" s="107"/>
      <c r="O21" s="254"/>
      <c r="P21" s="252"/>
      <c r="V21" s="94"/>
    </row>
    <row r="22" spans="1:22" ht="15.75" x14ac:dyDescent="0.25">
      <c r="A22" s="79" t="s">
        <v>69</v>
      </c>
      <c r="B22" s="79"/>
      <c r="C22" s="91"/>
      <c r="D22" s="92">
        <v>0</v>
      </c>
      <c r="E22" s="93"/>
      <c r="F22" s="92">
        <v>5000</v>
      </c>
      <c r="G22" s="93"/>
      <c r="H22" s="94">
        <f t="shared" si="2"/>
        <v>5000</v>
      </c>
      <c r="I22" s="93"/>
      <c r="J22" s="93"/>
      <c r="K22" s="94">
        <f>375.99+790</f>
        <v>1165.99</v>
      </c>
      <c r="L22" s="95"/>
      <c r="M22" s="94">
        <f t="shared" si="3"/>
        <v>3834.01</v>
      </c>
      <c r="N22" s="90"/>
      <c r="O22" s="252"/>
    </row>
    <row r="23" spans="1:22" ht="15.75" x14ac:dyDescent="0.25">
      <c r="A23" s="82" t="s">
        <v>44</v>
      </c>
      <c r="B23" s="82"/>
      <c r="C23" s="91"/>
      <c r="D23" s="97">
        <f>SUM(D13:D22)</f>
        <v>7000</v>
      </c>
      <c r="E23" s="93"/>
      <c r="F23" s="97">
        <f>SUM(F13:F22)</f>
        <v>143000</v>
      </c>
      <c r="G23" s="93"/>
      <c r="H23" s="97">
        <f>SUM(H13:H22)</f>
        <v>150000</v>
      </c>
      <c r="I23" s="93"/>
      <c r="J23" s="98">
        <f>SUM(J13:J22)</f>
        <v>0</v>
      </c>
      <c r="K23" s="98">
        <f>SUM(K13:K22)</f>
        <v>128156.94000000002</v>
      </c>
      <c r="L23" s="93"/>
      <c r="M23" s="97">
        <f>SUM(M13:M22)</f>
        <v>21843.059999999998</v>
      </c>
      <c r="N23" s="90"/>
      <c r="O23" s="252"/>
    </row>
    <row r="24" spans="1:22" x14ac:dyDescent="0.25">
      <c r="A24" s="82" t="s">
        <v>45</v>
      </c>
      <c r="B24" s="82"/>
      <c r="C24" s="91"/>
      <c r="D24" s="97">
        <f>+D11-D23</f>
        <v>65135.168000000005</v>
      </c>
      <c r="E24" s="93"/>
      <c r="F24" s="93"/>
      <c r="G24" s="93"/>
      <c r="H24" s="97">
        <f>+H11-H23</f>
        <v>-3793.8319999999949</v>
      </c>
      <c r="I24" s="93"/>
      <c r="J24" s="93"/>
      <c r="K24" s="93"/>
      <c r="L24" s="93"/>
      <c r="M24" s="93"/>
      <c r="N24" s="90"/>
    </row>
    <row r="25" spans="1:22" x14ac:dyDescent="0.25">
      <c r="A25" s="90"/>
      <c r="B25" s="90"/>
      <c r="C25" s="91"/>
      <c r="D25" s="90"/>
      <c r="E25" s="91"/>
      <c r="F25" s="90"/>
      <c r="G25" s="91"/>
      <c r="H25" s="104"/>
      <c r="I25" s="91"/>
      <c r="J25" s="247"/>
      <c r="K25" s="105"/>
      <c r="L25" s="103"/>
      <c r="M25" s="104"/>
      <c r="N25" s="90"/>
    </row>
    <row r="26" spans="1:22" x14ac:dyDescent="0.25">
      <c r="K26" s="24"/>
      <c r="N26" s="47"/>
    </row>
    <row r="27" spans="1:22" x14ac:dyDescent="0.25">
      <c r="K27" s="164">
        <v>973.5</v>
      </c>
      <c r="O27" s="253"/>
    </row>
    <row r="28" spans="1:22" x14ac:dyDescent="0.25">
      <c r="K28" s="164">
        <f>+K27-K23</f>
        <v>-127183.44000000002</v>
      </c>
      <c r="O28" s="253"/>
    </row>
    <row r="29" spans="1:22" x14ac:dyDescent="0.25">
      <c r="O29" s="253"/>
    </row>
    <row r="30" spans="1:22" x14ac:dyDescent="0.25">
      <c r="O30" s="253"/>
    </row>
    <row r="31" spans="1:22" x14ac:dyDescent="0.25">
      <c r="O31" s="253"/>
    </row>
    <row r="32" spans="1:22" x14ac:dyDescent="0.25">
      <c r="O32" s="253"/>
    </row>
    <row r="33" spans="15:15" x14ac:dyDescent="0.25">
      <c r="O33" s="253"/>
    </row>
  </sheetData>
  <mergeCells count="4">
    <mergeCell ref="A1:M1"/>
    <mergeCell ref="A2:M2"/>
    <mergeCell ref="A3:M3"/>
    <mergeCell ref="A4:M4"/>
  </mergeCells>
  <printOptions horizontalCentered="1"/>
  <pageMargins left="0.25" right="0.25" top="0.25" bottom="0.3" header="0.3" footer="0"/>
  <pageSetup scale="87" orientation="landscape" r:id="rId1"/>
  <headerFooter scaleWithDoc="0">
    <firstFooter>&amp;R
&amp;P&amp;N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5</vt:i4>
      </vt:variant>
    </vt:vector>
  </HeadingPairs>
  <TitlesOfParts>
    <vt:vector size="20" baseType="lpstr">
      <vt:lpstr>Allocation </vt:lpstr>
      <vt:lpstr>Budget Committee</vt:lpstr>
      <vt:lpstr>Athletic Committee</vt:lpstr>
      <vt:lpstr>Child &amp; Family Center</vt:lpstr>
      <vt:lpstr>Studyaway Fund</vt:lpstr>
      <vt:lpstr>Game Room</vt:lpstr>
      <vt:lpstr>YC Radio Station</vt:lpstr>
      <vt:lpstr>APAF</vt:lpstr>
      <vt:lpstr>Student Government</vt:lpstr>
      <vt:lpstr>Student Clubs</vt:lpstr>
      <vt:lpstr>Pandora's Box</vt:lpstr>
      <vt:lpstr>Administrative Fee</vt:lpstr>
      <vt:lpstr>Fee Breakdown</vt:lpstr>
      <vt:lpstr>Referendums</vt:lpstr>
      <vt:lpstr>Enrollment</vt:lpstr>
      <vt:lpstr>'Allocation '!Print_Area</vt:lpstr>
      <vt:lpstr>'Athletic Committee'!Print_Area</vt:lpstr>
      <vt:lpstr>'Budget Committee'!Print_Area</vt:lpstr>
      <vt:lpstr>'Studyaway Fund'!Print_Area</vt:lpstr>
      <vt:lpstr>'Student Government'!VCHR_PANELS_WK3_GO_PB</vt:lpstr>
    </vt:vector>
  </TitlesOfParts>
  <Company>York College CUNY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Delacruz</dc:creator>
  <cp:lastModifiedBy>Suzette Foster-Jemmott</cp:lastModifiedBy>
  <cp:lastPrinted>2020-02-06T14:08:02Z</cp:lastPrinted>
  <dcterms:created xsi:type="dcterms:W3CDTF">2017-07-17T17:38:54Z</dcterms:created>
  <dcterms:modified xsi:type="dcterms:W3CDTF">2020-08-10T18:10:53Z</dcterms:modified>
</cp:coreProperties>
</file>