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1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Association FY2024\Budget &amp; Expense Reports\"/>
    </mc:Choice>
  </mc:AlternateContent>
  <xr:revisionPtr revIDLastSave="0" documentId="13_ncr:1_{7FE12589-87E0-4D4F-92FB-03611E938C6F}" xr6:coauthVersionLast="47" xr6:coauthVersionMax="47" xr10:uidLastSave="{00000000-0000-0000-0000-000000000000}"/>
  <bookViews>
    <workbookView xWindow="0" yWindow="0" windowWidth="21600" windowHeight="10470" tabRatio="825" xr2:uid="{00000000-000D-0000-FFFF-FFFF00000000}"/>
  </bookViews>
  <sheets>
    <sheet name="Allocation " sheetId="9" r:id="rId1"/>
    <sheet name="Budget Committee" sheetId="26" r:id="rId2"/>
    <sheet name="Athletics" sheetId="27" r:id="rId3"/>
    <sheet name="Administrative Fee" sheetId="25" r:id="rId4"/>
    <sheet name="Referendums" sheetId="22" r:id="rId5"/>
    <sheet name="Enrollment" sheetId="23" r:id="rId6"/>
    <sheet name="Fee Breakdown" sheetId="24" r:id="rId7"/>
  </sheets>
  <definedNames>
    <definedName name="_xlnm.Print_Area" localSheetId="0">'Allocation '!$A$1:$U$71</definedName>
    <definedName name="_xlnm.Print_Area" localSheetId="2">Athletics!$A$1:$N$42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7" l="1"/>
  <c r="K41" i="27"/>
  <c r="J41" i="27"/>
  <c r="F41" i="27"/>
  <c r="E41" i="27"/>
  <c r="C41" i="27"/>
  <c r="H40" i="27"/>
  <c r="M40" i="27" s="1"/>
  <c r="H39" i="27"/>
  <c r="M39" i="27" s="1"/>
  <c r="H38" i="27"/>
  <c r="M38" i="27" s="1"/>
  <c r="H37" i="27"/>
  <c r="M37" i="27" s="1"/>
  <c r="H36" i="27"/>
  <c r="M36" i="27" s="1"/>
  <c r="H35" i="27"/>
  <c r="M35" i="27" s="1"/>
  <c r="H34" i="27"/>
  <c r="M34" i="27" s="1"/>
  <c r="H33" i="27"/>
  <c r="M33" i="27" s="1"/>
  <c r="H32" i="27"/>
  <c r="M32" i="27" s="1"/>
  <c r="H31" i="27"/>
  <c r="M31" i="27" s="1"/>
  <c r="H30" i="27"/>
  <c r="M30" i="27" s="1"/>
  <c r="H29" i="27"/>
  <c r="M29" i="27" s="1"/>
  <c r="H28" i="27"/>
  <c r="M28" i="27" s="1"/>
  <c r="H27" i="27"/>
  <c r="M27" i="27" s="1"/>
  <c r="H26" i="27"/>
  <c r="M26" i="27" s="1"/>
  <c r="H25" i="27"/>
  <c r="M25" i="27" s="1"/>
  <c r="H24" i="27"/>
  <c r="M24" i="27" s="1"/>
  <c r="H23" i="27"/>
  <c r="M23" i="27" s="1"/>
  <c r="H22" i="27"/>
  <c r="M22" i="27" s="1"/>
  <c r="H21" i="27"/>
  <c r="M21" i="27" s="1"/>
  <c r="H20" i="27"/>
  <c r="M20" i="27" s="1"/>
  <c r="H19" i="27"/>
  <c r="M19" i="27" s="1"/>
  <c r="H18" i="27"/>
  <c r="M18" i="27" s="1"/>
  <c r="H17" i="27"/>
  <c r="M17" i="27" s="1"/>
  <c r="H16" i="27"/>
  <c r="M16" i="27" s="1"/>
  <c r="H15" i="27"/>
  <c r="M15" i="27" s="1"/>
  <c r="H12" i="27"/>
  <c r="M12" i="27" s="1"/>
  <c r="K11" i="27"/>
  <c r="K13" i="27" s="1"/>
  <c r="J11" i="27"/>
  <c r="F11" i="27"/>
  <c r="E11" i="27"/>
  <c r="E13" i="27" s="1"/>
  <c r="H10" i="27"/>
  <c r="M10" i="27" s="1"/>
  <c r="H8" i="27"/>
  <c r="M8" i="27" s="1"/>
  <c r="A4" i="26"/>
  <c r="J36" i="26"/>
  <c r="I36" i="26"/>
  <c r="E36" i="26"/>
  <c r="C36" i="26"/>
  <c r="G35" i="26"/>
  <c r="L35" i="26" s="1"/>
  <c r="G34" i="26"/>
  <c r="L34" i="26" s="1"/>
  <c r="G33" i="26"/>
  <c r="L33" i="26" s="1"/>
  <c r="G32" i="26"/>
  <c r="L32" i="26" s="1"/>
  <c r="G31" i="26"/>
  <c r="L31" i="26" s="1"/>
  <c r="G30" i="26"/>
  <c r="L30" i="26" s="1"/>
  <c r="G29" i="26"/>
  <c r="L29" i="26" s="1"/>
  <c r="G28" i="26"/>
  <c r="L28" i="26" s="1"/>
  <c r="G27" i="26"/>
  <c r="L27" i="26" s="1"/>
  <c r="G26" i="26"/>
  <c r="L26" i="26" s="1"/>
  <c r="G25" i="26"/>
  <c r="L25" i="26" s="1"/>
  <c r="G24" i="26"/>
  <c r="L24" i="26" s="1"/>
  <c r="G23" i="26"/>
  <c r="L23" i="26" s="1"/>
  <c r="G22" i="26"/>
  <c r="L22" i="26" s="1"/>
  <c r="G21" i="26"/>
  <c r="L21" i="26" s="1"/>
  <c r="G20" i="26"/>
  <c r="L20" i="26" s="1"/>
  <c r="G19" i="26"/>
  <c r="L19" i="26" s="1"/>
  <c r="G18" i="26"/>
  <c r="L18" i="26" s="1"/>
  <c r="G17" i="26"/>
  <c r="L17" i="26" s="1"/>
  <c r="G16" i="26"/>
  <c r="L16" i="26" s="1"/>
  <c r="G15" i="26"/>
  <c r="L15" i="26" s="1"/>
  <c r="G14" i="26"/>
  <c r="L14" i="26" s="1"/>
  <c r="G13" i="26"/>
  <c r="L13" i="26" s="1"/>
  <c r="J11" i="26"/>
  <c r="I11" i="26"/>
  <c r="F11" i="26"/>
  <c r="E11" i="26"/>
  <c r="G10" i="26"/>
  <c r="M41" i="27" l="1"/>
  <c r="H41" i="27"/>
  <c r="L36" i="26"/>
  <c r="G36" i="26"/>
  <c r="T23" i="9" l="1"/>
  <c r="S23" i="9"/>
  <c r="R23" i="9"/>
  <c r="Q23" i="9"/>
  <c r="P23" i="9"/>
  <c r="O23" i="9"/>
  <c r="N23" i="9"/>
  <c r="M23" i="9"/>
  <c r="L23" i="9"/>
  <c r="F60" i="9" l="1"/>
  <c r="T60" i="9"/>
  <c r="N60" i="9"/>
  <c r="O60" i="9"/>
  <c r="P60" i="9"/>
  <c r="Q60" i="9"/>
  <c r="R60" i="9"/>
  <c r="S60" i="9"/>
  <c r="M60" i="9"/>
  <c r="J19" i="23"/>
  <c r="J18" i="23"/>
  <c r="J14" i="23"/>
  <c r="J13" i="23"/>
  <c r="J9" i="23"/>
  <c r="K20" i="23"/>
  <c r="K15" i="23"/>
  <c r="K10" i="23"/>
  <c r="J10" i="23" l="1"/>
  <c r="C6" i="9"/>
  <c r="E9" i="22"/>
  <c r="J15" i="23"/>
  <c r="C10" i="9"/>
  <c r="E102" i="22"/>
  <c r="E90" i="22"/>
  <c r="E79" i="22"/>
  <c r="E68" i="22"/>
  <c r="E57" i="22"/>
  <c r="E45" i="22"/>
  <c r="E33" i="22"/>
  <c r="E22" i="22"/>
  <c r="E11" i="22"/>
  <c r="C11" i="9"/>
  <c r="E103" i="22"/>
  <c r="E91" i="22"/>
  <c r="E80" i="22"/>
  <c r="E69" i="22"/>
  <c r="E58" i="22"/>
  <c r="E46" i="22"/>
  <c r="E34" i="22"/>
  <c r="E23" i="22"/>
  <c r="E12" i="22"/>
  <c r="J20" i="23"/>
  <c r="C14" i="9"/>
  <c r="E14" i="9" s="1"/>
  <c r="E106" i="22"/>
  <c r="E94" i="22"/>
  <c r="E83" i="22"/>
  <c r="E72" i="22"/>
  <c r="E61" i="22"/>
  <c r="E49" i="22"/>
  <c r="E37" i="22"/>
  <c r="E26" i="22"/>
  <c r="E15" i="22"/>
  <c r="C15" i="9"/>
  <c r="E15" i="9" s="1"/>
  <c r="E107" i="22"/>
  <c r="E95" i="22"/>
  <c r="E84" i="22"/>
  <c r="E73" i="22"/>
  <c r="E62" i="22"/>
  <c r="E50" i="22"/>
  <c r="E38" i="22"/>
  <c r="E27" i="22"/>
  <c r="E16" i="22"/>
  <c r="F14" i="9"/>
  <c r="U19" i="9" l="1"/>
  <c r="J19" i="9" l="1"/>
  <c r="G20" i="9"/>
  <c r="G9" i="23" l="1"/>
  <c r="I20" i="23"/>
  <c r="I15" i="23"/>
  <c r="G19" i="23" l="1"/>
  <c r="G18" i="23"/>
  <c r="G14" i="23"/>
  <c r="G13" i="23"/>
  <c r="G26" i="22" l="1"/>
  <c r="G15" i="22"/>
  <c r="G27" i="22"/>
  <c r="G50" i="22"/>
  <c r="G73" i="22"/>
  <c r="G37" i="22"/>
  <c r="G61" i="22"/>
  <c r="G38" i="22"/>
  <c r="G62" i="22"/>
  <c r="G84" i="22"/>
  <c r="U18" i="9"/>
  <c r="T7" i="9"/>
  <c r="S7" i="9"/>
  <c r="R7" i="9"/>
  <c r="Q7" i="9"/>
  <c r="P7" i="9"/>
  <c r="O7" i="9"/>
  <c r="N7" i="9"/>
  <c r="M7" i="9"/>
  <c r="K7" i="9"/>
  <c r="I7" i="9"/>
  <c r="H7" i="9"/>
  <c r="G7" i="9"/>
  <c r="D7" i="9"/>
  <c r="W7" i="9"/>
  <c r="E6" i="9"/>
  <c r="F6" i="9" s="1"/>
  <c r="G16" i="25"/>
  <c r="G19" i="24"/>
  <c r="G21" i="24" s="1"/>
  <c r="E19" i="24"/>
  <c r="E21" i="24" s="1"/>
  <c r="C19" i="24"/>
  <c r="C21" i="24" s="1"/>
  <c r="C20" i="23"/>
  <c r="G16" i="22"/>
  <c r="H17" i="23"/>
  <c r="C15" i="23"/>
  <c r="H12" i="23"/>
  <c r="C10" i="23"/>
  <c r="H9" i="23"/>
  <c r="G10" i="23"/>
  <c r="G107" i="22"/>
  <c r="G106" i="22"/>
  <c r="G95" i="22"/>
  <c r="G94" i="22"/>
  <c r="G83" i="22"/>
  <c r="G72" i="22"/>
  <c r="G49" i="22"/>
  <c r="G20" i="23"/>
  <c r="H60" i="9"/>
  <c r="J59" i="9"/>
  <c r="L59" i="9"/>
  <c r="U59" i="9" s="1"/>
  <c r="J58" i="9"/>
  <c r="L58" i="9"/>
  <c r="U58" i="9" s="1"/>
  <c r="J57" i="9"/>
  <c r="L57" i="9"/>
  <c r="U57" i="9" s="1"/>
  <c r="J56" i="9"/>
  <c r="L56" i="9"/>
  <c r="U56" i="9" s="1"/>
  <c r="J50" i="9"/>
  <c r="L50" i="9" s="1"/>
  <c r="U50" i="9" s="1"/>
  <c r="L55" i="9"/>
  <c r="U55" i="9" s="1"/>
  <c r="L54" i="9"/>
  <c r="U54" i="9" s="1"/>
  <c r="J55" i="9"/>
  <c r="J54" i="9"/>
  <c r="L53" i="9"/>
  <c r="U53" i="9" s="1"/>
  <c r="J53" i="9"/>
  <c r="J52" i="9"/>
  <c r="L52" i="9"/>
  <c r="U52" i="9" s="1"/>
  <c r="J49" i="9"/>
  <c r="L49" i="9" s="1"/>
  <c r="U49" i="9" s="1"/>
  <c r="L51" i="9"/>
  <c r="U51" i="9" s="1"/>
  <c r="D12" i="9"/>
  <c r="J51" i="9"/>
  <c r="J48" i="9"/>
  <c r="L48" i="9" s="1"/>
  <c r="U48" i="9" s="1"/>
  <c r="J47" i="9"/>
  <c r="L47" i="9" s="1"/>
  <c r="U47" i="9" s="1"/>
  <c r="J45" i="9"/>
  <c r="U45" i="9" s="1"/>
  <c r="J44" i="9"/>
  <c r="L44" i="9" s="1"/>
  <c r="U44" i="9" s="1"/>
  <c r="K62" i="9"/>
  <c r="K63" i="9" s="1"/>
  <c r="I62" i="9"/>
  <c r="I63" i="9" s="1"/>
  <c r="G62" i="9"/>
  <c r="W60" i="9"/>
  <c r="J46" i="9"/>
  <c r="L46" i="9" s="1"/>
  <c r="U46" i="9" s="1"/>
  <c r="J43" i="9"/>
  <c r="L43" i="9" s="1"/>
  <c r="U43" i="9" s="1"/>
  <c r="J42" i="9"/>
  <c r="L42" i="9" s="1"/>
  <c r="U42" i="9" s="1"/>
  <c r="J41" i="9"/>
  <c r="U41" i="9" s="1"/>
  <c r="V41" i="9" s="1"/>
  <c r="J40" i="9"/>
  <c r="J39" i="9"/>
  <c r="L39" i="9" s="1"/>
  <c r="J38" i="9"/>
  <c r="L38" i="9" s="1"/>
  <c r="U38" i="9" s="1"/>
  <c r="J37" i="9"/>
  <c r="U37" i="9" s="1"/>
  <c r="J36" i="9"/>
  <c r="L36" i="9" s="1"/>
  <c r="U36" i="9" s="1"/>
  <c r="V36" i="9" s="1"/>
  <c r="J35" i="9"/>
  <c r="L35" i="9" s="1"/>
  <c r="U35" i="9" s="1"/>
  <c r="V35" i="9" s="1"/>
  <c r="J34" i="9"/>
  <c r="L34" i="9" s="1"/>
  <c r="U34" i="9" s="1"/>
  <c r="J33" i="9"/>
  <c r="L33" i="9" s="1"/>
  <c r="U33" i="9" s="1"/>
  <c r="J32" i="9"/>
  <c r="L32" i="9" s="1"/>
  <c r="U32" i="9" s="1"/>
  <c r="V32" i="9" s="1"/>
  <c r="J31" i="9"/>
  <c r="J30" i="9"/>
  <c r="L30" i="9" s="1"/>
  <c r="U30" i="9" s="1"/>
  <c r="V30" i="9" s="1"/>
  <c r="J29" i="9"/>
  <c r="L29" i="9" s="1"/>
  <c r="U29" i="9" s="1"/>
  <c r="V29" i="9" s="1"/>
  <c r="J28" i="9"/>
  <c r="L28" i="9" s="1"/>
  <c r="U28" i="9" s="1"/>
  <c r="V28" i="9" s="1"/>
  <c r="J27" i="9"/>
  <c r="L27" i="9" s="1"/>
  <c r="U27" i="9" s="1"/>
  <c r="J26" i="9"/>
  <c r="L26" i="9" s="1"/>
  <c r="U26" i="9" s="1"/>
  <c r="V26" i="9" s="1"/>
  <c r="J25" i="9"/>
  <c r="L25" i="9" s="1"/>
  <c r="U25" i="9" s="1"/>
  <c r="V25" i="9" s="1"/>
  <c r="J24" i="9"/>
  <c r="U23" i="9"/>
  <c r="J23" i="9"/>
  <c r="J18" i="9"/>
  <c r="K17" i="9"/>
  <c r="K20" i="9" s="1"/>
  <c r="I17" i="9"/>
  <c r="I20" i="9" s="1"/>
  <c r="W16" i="9"/>
  <c r="W12" i="9"/>
  <c r="H12" i="9"/>
  <c r="G51" i="22" l="1"/>
  <c r="U39" i="9"/>
  <c r="V39" i="9" s="1"/>
  <c r="F15" i="9"/>
  <c r="J15" i="9" s="1"/>
  <c r="D16" i="9"/>
  <c r="U40" i="9"/>
  <c r="V40" i="9" s="1"/>
  <c r="G96" i="22"/>
  <c r="H18" i="24"/>
  <c r="H10" i="24"/>
  <c r="H11" i="24"/>
  <c r="H12" i="24"/>
  <c r="H13" i="24"/>
  <c r="G28" i="22"/>
  <c r="H14" i="24"/>
  <c r="E11" i="9"/>
  <c r="M11" i="9" s="1"/>
  <c r="H15" i="24"/>
  <c r="H16" i="24"/>
  <c r="H17" i="24"/>
  <c r="G85" i="22"/>
  <c r="G63" i="22"/>
  <c r="V23" i="9"/>
  <c r="V51" i="9"/>
  <c r="C16" i="9"/>
  <c r="H16" i="9"/>
  <c r="H17" i="9" s="1"/>
  <c r="H20" i="9" s="1"/>
  <c r="L24" i="9"/>
  <c r="U24" i="9" s="1"/>
  <c r="V24" i="9" s="1"/>
  <c r="W17" i="9"/>
  <c r="W20" i="9" s="1"/>
  <c r="W61" i="9" s="1"/>
  <c r="W62" i="9" s="1"/>
  <c r="L31" i="9"/>
  <c r="U31" i="9" s="1"/>
  <c r="V31" i="9" s="1"/>
  <c r="N15" i="9"/>
  <c r="V48" i="9"/>
  <c r="L14" i="9"/>
  <c r="O14" i="9"/>
  <c r="P14" i="9"/>
  <c r="M14" i="9"/>
  <c r="N14" i="9"/>
  <c r="S14" i="9"/>
  <c r="T14" i="9"/>
  <c r="J14" i="9"/>
  <c r="Q14" i="9"/>
  <c r="R14" i="9"/>
  <c r="V27" i="9"/>
  <c r="J60" i="9"/>
  <c r="G108" i="22"/>
  <c r="G74" i="22"/>
  <c r="G39" i="22"/>
  <c r="G17" i="22"/>
  <c r="P15" i="9"/>
  <c r="O15" i="9"/>
  <c r="S15" i="9"/>
  <c r="E16" i="9"/>
  <c r="L15" i="9"/>
  <c r="T15" i="9"/>
  <c r="R15" i="9"/>
  <c r="M15" i="9"/>
  <c r="Q15" i="9"/>
  <c r="C12" i="9"/>
  <c r="E10" i="9"/>
  <c r="G15" i="23"/>
  <c r="E7" i="9"/>
  <c r="I10" i="23"/>
  <c r="G9" i="22" s="1"/>
  <c r="C7" i="9"/>
  <c r="L60" i="9" l="1"/>
  <c r="P11" i="9"/>
  <c r="O11" i="9"/>
  <c r="F11" i="9"/>
  <c r="J11" i="9" s="1"/>
  <c r="L11" i="9"/>
  <c r="T11" i="9"/>
  <c r="R11" i="9"/>
  <c r="Q11" i="9"/>
  <c r="N11" i="9"/>
  <c r="S11" i="9"/>
  <c r="H61" i="9"/>
  <c r="H62" i="9" s="1"/>
  <c r="H63" i="9" s="1"/>
  <c r="H19" i="24"/>
  <c r="P16" i="9"/>
  <c r="M16" i="9"/>
  <c r="C9" i="27" s="1"/>
  <c r="H9" i="27" s="1"/>
  <c r="M9" i="27" s="1"/>
  <c r="J16" i="9"/>
  <c r="N16" i="9"/>
  <c r="Q16" i="9"/>
  <c r="L16" i="9"/>
  <c r="C9" i="26" s="1"/>
  <c r="G9" i="26" s="1"/>
  <c r="L9" i="26" s="1"/>
  <c r="V60" i="9"/>
  <c r="U60" i="9"/>
  <c r="F16" i="9"/>
  <c r="U14" i="9"/>
  <c r="V14" i="9" s="1"/>
  <c r="R16" i="9"/>
  <c r="S16" i="9"/>
  <c r="T16" i="9"/>
  <c r="O16" i="9"/>
  <c r="U15" i="9"/>
  <c r="V15" i="9" s="1"/>
  <c r="G12" i="22"/>
  <c r="T10" i="9"/>
  <c r="L10" i="9"/>
  <c r="Q10" i="9"/>
  <c r="E12" i="9"/>
  <c r="P10" i="9"/>
  <c r="P12" i="9" s="1"/>
  <c r="M10" i="9"/>
  <c r="M12" i="9" s="1"/>
  <c r="C7" i="27" s="1"/>
  <c r="N10" i="9"/>
  <c r="N12" i="9" s="1"/>
  <c r="R10" i="9"/>
  <c r="O10" i="9"/>
  <c r="O12" i="9" s="1"/>
  <c r="F10" i="9"/>
  <c r="S10" i="9"/>
  <c r="F7" i="9"/>
  <c r="J6" i="9"/>
  <c r="C11" i="27" l="1"/>
  <c r="C13" i="27" s="1"/>
  <c r="C42" i="27" s="1"/>
  <c r="H7" i="27"/>
  <c r="U11" i="9"/>
  <c r="V11" i="9" s="1"/>
  <c r="T12" i="9"/>
  <c r="T17" i="9" s="1"/>
  <c r="S12" i="9"/>
  <c r="S17" i="9" s="1"/>
  <c r="S20" i="9" s="1"/>
  <c r="R12" i="9"/>
  <c r="R17" i="9" s="1"/>
  <c r="Q12" i="9"/>
  <c r="Q17" i="9" s="1"/>
  <c r="U16" i="9"/>
  <c r="V16" i="9" s="1"/>
  <c r="G23" i="22"/>
  <c r="N17" i="9"/>
  <c r="M17" i="9"/>
  <c r="U10" i="9"/>
  <c r="U12" i="9" s="1"/>
  <c r="L12" i="9"/>
  <c r="C8" i="26" s="1"/>
  <c r="G8" i="26" s="1"/>
  <c r="L8" i="26" s="1"/>
  <c r="P17" i="9"/>
  <c r="J10" i="9"/>
  <c r="F12" i="9"/>
  <c r="F17" i="9" s="1"/>
  <c r="F20" i="9" s="1"/>
  <c r="O17" i="9"/>
  <c r="J7" i="9"/>
  <c r="L6" i="9"/>
  <c r="H11" i="27" l="1"/>
  <c r="H13" i="27" s="1"/>
  <c r="H42" i="27" s="1"/>
  <c r="M7" i="27"/>
  <c r="M11" i="27" s="1"/>
  <c r="M13" i="27" s="1"/>
  <c r="T20" i="9"/>
  <c r="T61" i="9" s="1"/>
  <c r="T62" i="9" s="1"/>
  <c r="T63" i="9" s="1"/>
  <c r="M20" i="9"/>
  <c r="M61" i="9" s="1"/>
  <c r="M62" i="9" s="1"/>
  <c r="M63" i="9" s="1"/>
  <c r="N20" i="9"/>
  <c r="N61" i="9" s="1"/>
  <c r="N62" i="9" s="1"/>
  <c r="N63" i="9" s="1"/>
  <c r="R20" i="9"/>
  <c r="R61" i="9" s="1"/>
  <c r="R62" i="9" s="1"/>
  <c r="R63" i="9" s="1"/>
  <c r="P20" i="9"/>
  <c r="P61" i="9" s="1"/>
  <c r="P62" i="9" s="1"/>
  <c r="P63" i="9" s="1"/>
  <c r="O20" i="9"/>
  <c r="O61" i="9" s="1"/>
  <c r="O62" i="9" s="1"/>
  <c r="O63" i="9" s="1"/>
  <c r="Q20" i="9"/>
  <c r="Q61" i="9" s="1"/>
  <c r="Q62" i="9" s="1"/>
  <c r="Q63" i="9" s="1"/>
  <c r="F61" i="9"/>
  <c r="F62" i="9" s="1"/>
  <c r="F63" i="9" s="1"/>
  <c r="S61" i="9"/>
  <c r="S62" i="9" s="1"/>
  <c r="S63" i="9" s="1"/>
  <c r="G34" i="22"/>
  <c r="G11" i="22"/>
  <c r="G13" i="22" s="1"/>
  <c r="G18" i="22" s="1"/>
  <c r="C7" i="25" s="1"/>
  <c r="J12" i="9"/>
  <c r="V12" i="9" s="1"/>
  <c r="V17" i="9" s="1"/>
  <c r="V20" i="9" s="1"/>
  <c r="V61" i="9" s="1"/>
  <c r="V62" i="9" s="1"/>
  <c r="V10" i="9"/>
  <c r="U6" i="9"/>
  <c r="U7" i="9" s="1"/>
  <c r="U17" i="9" s="1"/>
  <c r="U20" i="9" s="1"/>
  <c r="L7" i="9"/>
  <c r="C7" i="26" s="1"/>
  <c r="G7" i="26" l="1"/>
  <c r="C11" i="26"/>
  <c r="C37" i="26" s="1"/>
  <c r="V7" i="9"/>
  <c r="G46" i="22"/>
  <c r="J17" i="9"/>
  <c r="J20" i="9" s="1"/>
  <c r="G22" i="22"/>
  <c r="G24" i="22" s="1"/>
  <c r="G29" i="22" s="1"/>
  <c r="C8" i="25" s="1"/>
  <c r="L17" i="9"/>
  <c r="L20" i="9" s="1"/>
  <c r="O8" i="9"/>
  <c r="N8" i="9"/>
  <c r="R8" i="9"/>
  <c r="U61" i="9"/>
  <c r="M8" i="9"/>
  <c r="T8" i="9"/>
  <c r="P8" i="9"/>
  <c r="Q8" i="9"/>
  <c r="S8" i="9"/>
  <c r="G11" i="26" l="1"/>
  <c r="G37" i="26" s="1"/>
  <c r="L7" i="26"/>
  <c r="L11" i="26" s="1"/>
  <c r="J61" i="9"/>
  <c r="Y61" i="9" s="1"/>
  <c r="G58" i="22"/>
  <c r="G33" i="22"/>
  <c r="G35" i="22" s="1"/>
  <c r="G40" i="22" s="1"/>
  <c r="C9" i="25" s="1"/>
  <c r="L61" i="9"/>
  <c r="L8" i="9"/>
  <c r="U62" i="9"/>
  <c r="J62" i="9" l="1"/>
  <c r="J63" i="9" s="1"/>
  <c r="G69" i="22"/>
  <c r="G45" i="22"/>
  <c r="G47" i="22" s="1"/>
  <c r="G52" i="22" s="1"/>
  <c r="C10" i="25" s="1"/>
  <c r="L62" i="9"/>
  <c r="L63" i="9" s="1"/>
  <c r="U63" i="9" s="1"/>
  <c r="U64" i="9"/>
  <c r="Y62" i="9" l="1"/>
  <c r="G80" i="22"/>
  <c r="G57" i="22"/>
  <c r="G59" i="22" s="1"/>
  <c r="G64" i="22" s="1"/>
  <c r="C11" i="25" s="1"/>
  <c r="G103" i="22" l="1"/>
  <c r="G91" i="22"/>
  <c r="G68" i="22"/>
  <c r="G70" i="22" s="1"/>
  <c r="G75" i="22" s="1"/>
  <c r="C12" i="25" s="1"/>
  <c r="G79" i="22" l="1"/>
  <c r="G81" i="22" s="1"/>
  <c r="G86" i="22" s="1"/>
  <c r="C13" i="25" s="1"/>
  <c r="G102" i="22" l="1"/>
  <c r="G104" i="22" s="1"/>
  <c r="G109" i="22" s="1"/>
  <c r="C15" i="25" s="1"/>
  <c r="G90" i="22"/>
  <c r="G92" i="22" s="1"/>
  <c r="G97" i="22" s="1"/>
  <c r="C14" i="25" s="1"/>
  <c r="C16" i="25" l="1"/>
  <c r="G110" i="22"/>
  <c r="D7" i="25" l="1"/>
  <c r="D8" i="25"/>
  <c r="D9" i="25"/>
  <c r="D10" i="25"/>
  <c r="D11" i="25"/>
  <c r="D12" i="25"/>
  <c r="D13" i="25"/>
  <c r="D14" i="25"/>
  <c r="D15" i="25"/>
  <c r="E11" i="25"/>
  <c r="E7" i="25"/>
  <c r="E8" i="25"/>
  <c r="E9" i="25"/>
  <c r="E10" i="25"/>
  <c r="E12" i="25"/>
  <c r="E13" i="25"/>
  <c r="E15" i="25"/>
  <c r="E14" i="25"/>
  <c r="E16" i="25" l="1"/>
</calcChain>
</file>

<file path=xl/sharedStrings.xml><?xml version="1.0" encoding="utf-8"?>
<sst xmlns="http://schemas.openxmlformats.org/spreadsheetml/2006/main" count="364" uniqueCount="177">
  <si>
    <t>York College Association, Inc</t>
  </si>
  <si>
    <t>Proposed Budget/Expenditure Report - FY 2024</t>
  </si>
  <si>
    <t>As of August 31, 2023</t>
  </si>
  <si>
    <t>Semesters</t>
  </si>
  <si>
    <t>Initial Enroll. 85% of FY2023 Actuals</t>
  </si>
  <si>
    <t>Form A Adj</t>
  </si>
  <si>
    <t>Adj Enroll.</t>
  </si>
  <si>
    <t>Initial Budget</t>
  </si>
  <si>
    <t>Adjustment</t>
  </si>
  <si>
    <t>Adjusted Budget</t>
  </si>
  <si>
    <t>Budget Committee</t>
  </si>
  <si>
    <t>Athletic Department</t>
  </si>
  <si>
    <t>Child &amp; Family Center</t>
  </si>
  <si>
    <t>Study/Away/Aboard Fund</t>
  </si>
  <si>
    <t>Game Room</t>
  </si>
  <si>
    <t>YC Radio Station</t>
  </si>
  <si>
    <t>A.P.A.F.</t>
  </si>
  <si>
    <t>Student Government</t>
  </si>
  <si>
    <t>Student Clubs</t>
  </si>
  <si>
    <t>Total</t>
  </si>
  <si>
    <t>Proposed Budget 2015-2016</t>
  </si>
  <si>
    <t>Summer @ $15</t>
  </si>
  <si>
    <t xml:space="preserve">Fall </t>
  </si>
  <si>
    <t xml:space="preserve">     Full-Time @ $72.15</t>
  </si>
  <si>
    <t xml:space="preserve">     Part-Time @ $52.15</t>
  </si>
  <si>
    <t>Spring</t>
  </si>
  <si>
    <t xml:space="preserve"> </t>
  </si>
  <si>
    <t>Total Student Fees</t>
  </si>
  <si>
    <t>Other Rev (Gameroom)</t>
  </si>
  <si>
    <t>Reappropriation</t>
  </si>
  <si>
    <t>Total Revenue</t>
  </si>
  <si>
    <t>Operating Expenses</t>
  </si>
  <si>
    <t xml:space="preserve">Administrative Service </t>
  </si>
  <si>
    <t>Attorney Fee</t>
  </si>
  <si>
    <t>Auditing Fee</t>
  </si>
  <si>
    <t>Music License Fees</t>
  </si>
  <si>
    <t xml:space="preserve">Director's Insurance </t>
  </si>
  <si>
    <t>General Liability Insurance</t>
  </si>
  <si>
    <t>Student Government Elections</t>
  </si>
  <si>
    <t>Use of Facilities</t>
  </si>
  <si>
    <t>Leadership Confer/Retreats</t>
  </si>
  <si>
    <t xml:space="preserve">  Club Fairs</t>
  </si>
  <si>
    <t xml:space="preserve">  Senior Dance</t>
  </si>
  <si>
    <t xml:space="preserve">  Salary</t>
  </si>
  <si>
    <t>Board General &amp; Catering</t>
  </si>
  <si>
    <t>Pandora' Box</t>
  </si>
  <si>
    <t>Student Orientation - additional funding approved 4/21/22</t>
  </si>
  <si>
    <t>Club Fairs</t>
  </si>
  <si>
    <t>President Fund</t>
  </si>
  <si>
    <t>Yearbook Committee</t>
  </si>
  <si>
    <t>Undergraduate Research Day</t>
  </si>
  <si>
    <t>Open House</t>
  </si>
  <si>
    <t>Accepted Student Reception</t>
  </si>
  <si>
    <t>OT Pinning Ceremony</t>
  </si>
  <si>
    <t>Commencement</t>
  </si>
  <si>
    <t xml:space="preserve">Study Up Til Midnight - Fall </t>
  </si>
  <si>
    <t xml:space="preserve">Nursing Lobby Day </t>
  </si>
  <si>
    <t xml:space="preserve">Total Expenses </t>
  </si>
  <si>
    <t>Total Revenue Less Expenses (Unallocated)</t>
  </si>
  <si>
    <t>Total Adjusted Budget &amp; Unallocated Funds</t>
  </si>
  <si>
    <t>Budget Committee (Dept. 75060)</t>
  </si>
  <si>
    <t xml:space="preserve"> Budget/Expenditure Report</t>
  </si>
  <si>
    <t>Y-T-D         Encumbrances</t>
  </si>
  <si>
    <t>Y-T-D        Expenses</t>
  </si>
  <si>
    <t>Variances</t>
  </si>
  <si>
    <t>Summer</t>
  </si>
  <si>
    <t xml:space="preserve">Reappropration </t>
  </si>
  <si>
    <t>Total Operating Expenses</t>
  </si>
  <si>
    <t>Unallocated Funds</t>
  </si>
  <si>
    <t>Athletic Department (Dept. 75012)</t>
  </si>
  <si>
    <t>Mid-Year Adjustments</t>
  </si>
  <si>
    <t>Prior Year (FY19) Budget Deficit</t>
  </si>
  <si>
    <t>Total Revenue &amp; Reappropriation</t>
  </si>
  <si>
    <t>Professional Services</t>
  </si>
  <si>
    <t>Printing &amp; Duplicating</t>
  </si>
  <si>
    <t>Athletic Supplies</t>
  </si>
  <si>
    <t>Other Supplies</t>
  </si>
  <si>
    <t>Periodicals/Subcriptions</t>
  </si>
  <si>
    <t>Travel - Air Fare</t>
  </si>
  <si>
    <t>Local - Ground Transportation</t>
  </si>
  <si>
    <t xml:space="preserve">Hotel &amp; Lodging </t>
  </si>
  <si>
    <t>`</t>
  </si>
  <si>
    <t>Meals</t>
  </si>
  <si>
    <t>Registration Fees</t>
  </si>
  <si>
    <t>Rental</t>
  </si>
  <si>
    <t>Entry Fees</t>
  </si>
  <si>
    <t>Referee &amp; Game Aide</t>
  </si>
  <si>
    <t>Catering</t>
  </si>
  <si>
    <t>Awards Dinner</t>
  </si>
  <si>
    <t>Membership</t>
  </si>
  <si>
    <t>Athletic Insurance</t>
  </si>
  <si>
    <t>Equipment</t>
  </si>
  <si>
    <t>Computer Maintenance</t>
  </si>
  <si>
    <t>Software</t>
  </si>
  <si>
    <t>Recruitment Expenses</t>
  </si>
  <si>
    <t>Maintenance</t>
  </si>
  <si>
    <t>YORK CLLEGE ASSOCIATION</t>
  </si>
  <si>
    <t>Fiscal Year 2023 - 2024</t>
  </si>
  <si>
    <t>Admistrative Fee Breakdown</t>
  </si>
  <si>
    <t>Referendums</t>
  </si>
  <si>
    <t>Total Initial Revenue</t>
  </si>
  <si>
    <t>% of Admin Fee</t>
  </si>
  <si>
    <t>Total Admin Fee</t>
  </si>
  <si>
    <t>Nearest Hundreth</t>
  </si>
  <si>
    <t xml:space="preserve">     Budget Committee</t>
  </si>
  <si>
    <t xml:space="preserve">     Athletic Department</t>
  </si>
  <si>
    <t xml:space="preserve">     Child and Family Center</t>
  </si>
  <si>
    <t xml:space="preserve">     Study/Away/Aboard Program</t>
  </si>
  <si>
    <t xml:space="preserve">     Game Room</t>
  </si>
  <si>
    <t xml:space="preserve">     YC Radio Station</t>
  </si>
  <si>
    <t xml:space="preserve">     Associatin Performing Arts Fund</t>
  </si>
  <si>
    <t xml:space="preserve">     Student Government</t>
  </si>
  <si>
    <t xml:space="preserve">     Student Clubs</t>
  </si>
  <si>
    <t>Association Fee</t>
  </si>
  <si>
    <t>YORK COLLEGE ASSOCIATION</t>
  </si>
  <si>
    <t>REFERENDUMS AND APPROVED PROGRAMS</t>
  </si>
  <si>
    <t>FOR FISCAL YEAR 2023 - 2024</t>
  </si>
  <si>
    <t>As of July 1, 2023</t>
  </si>
  <si>
    <t>BUDGET COMMITTEE</t>
  </si>
  <si>
    <t>SUMMER:</t>
  </si>
  <si>
    <t>PART TIME STUDENTS @ $15.00</t>
  </si>
  <si>
    <t>X</t>
  </si>
  <si>
    <t>=</t>
  </si>
  <si>
    <t>FALL:</t>
  </si>
  <si>
    <t>FULL TIME STUDENTS @ $21.15</t>
  </si>
  <si>
    <t>PART TIME STUDENTS @ $11.15</t>
  </si>
  <si>
    <t>TOTAL FALL</t>
  </si>
  <si>
    <t>SPRING:</t>
  </si>
  <si>
    <t>TOTAL BUDGET COMMITTEE BALANCE</t>
  </si>
  <si>
    <t>ATHLETIC FUND</t>
  </si>
  <si>
    <t>FULL TIME STUDENTS @ $23.00</t>
  </si>
  <si>
    <t>PART TIME STUDENTS @ $16.00</t>
  </si>
  <si>
    <t>TOTAL ATHLETIC FUND</t>
  </si>
  <si>
    <t>CHILD &amp; FAMILY CENTER</t>
  </si>
  <si>
    <t>FULL TIME STUDENTS @ $5.00</t>
  </si>
  <si>
    <t>PART TIME STUDENTS @ $5.00</t>
  </si>
  <si>
    <t>TOTAL CHILD &amp; FAMILY CENTER</t>
  </si>
  <si>
    <t>STUDY AWAY/ABROAD PROGRAM</t>
  </si>
  <si>
    <t>FULL TIME STUDENTS @ $4.00</t>
  </si>
  <si>
    <t>PART TIME STUDENTS @ $3.00</t>
  </si>
  <si>
    <t>TOTAL STUDY AWAY/ABROAD PROGRAM</t>
  </si>
  <si>
    <t>GAMEROOM</t>
  </si>
  <si>
    <t>FULL TIME STUDENTS @ $3.00</t>
  </si>
  <si>
    <t>TOTAL GAMEROOM</t>
  </si>
  <si>
    <t>Y.C RADIO STATION</t>
  </si>
  <si>
    <t>PART TIME STUDENTS @ $4.00</t>
  </si>
  <si>
    <t>PERFORMING ARTS FUND</t>
  </si>
  <si>
    <t>FULL TIME STUDENTS @ $2.00</t>
  </si>
  <si>
    <t>PART TIME STUDENTS @ $2.00</t>
  </si>
  <si>
    <t>TOTAL PERFORMING ARTS FUND BALANCE</t>
  </si>
  <si>
    <t>STUDENT GOVERNMENT</t>
  </si>
  <si>
    <t>FULL TIME STUDENTS @ $6.00</t>
  </si>
  <si>
    <t>PART TIME STUDENTS @ $6.00</t>
  </si>
  <si>
    <t>TOTAL STUDENT GOVERNMENT</t>
  </si>
  <si>
    <t>STUDENT CLUBS</t>
  </si>
  <si>
    <t>TOTAL STUDENT CLUBS</t>
  </si>
  <si>
    <t>GRAND TOTAL</t>
  </si>
  <si>
    <t>Student Activity Fee Enrollment</t>
  </si>
  <si>
    <t>Fiscal Year 2023 Acual vs 2024 Budget</t>
  </si>
  <si>
    <t>Student Association Fee</t>
  </si>
  <si>
    <t>FY2021 Actual</t>
  </si>
  <si>
    <t>FY2022  Proposed</t>
  </si>
  <si>
    <t>FY2023  Actual</t>
  </si>
  <si>
    <t>FY2024  Proposed</t>
  </si>
  <si>
    <t>FY2024  Actual</t>
  </si>
  <si>
    <t xml:space="preserve">     Summer</t>
  </si>
  <si>
    <t>Total Summer</t>
  </si>
  <si>
    <t xml:space="preserve">     Fall</t>
  </si>
  <si>
    <t>Full Time</t>
  </si>
  <si>
    <t>Part Time</t>
  </si>
  <si>
    <t>Total Fall</t>
  </si>
  <si>
    <t xml:space="preserve">     Spring</t>
  </si>
  <si>
    <t>Total Spring</t>
  </si>
  <si>
    <t>Fiscal Year 2023-2024</t>
  </si>
  <si>
    <t>Student Association Fee Breakdown</t>
  </si>
  <si>
    <t>University Student Senate</t>
  </si>
  <si>
    <t>Total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</si>
</sst>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b/>
      <sz val="12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MS Sans Serif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/>
    <xf numFmtId="0" fontId="6" fillId="0" borderId="0"/>
    <xf numFmtId="0" fontId="17" fillId="0" borderId="0"/>
    <xf numFmtId="0" fontId="17" fillId="0" borderId="0"/>
  </cellStyleXfs>
  <cellXfs count="1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4" fillId="0" borderId="7" xfId="1" applyNumberFormat="1" applyFont="1" applyFill="1" applyBorder="1"/>
    <xf numFmtId="164" fontId="4" fillId="0" borderId="4" xfId="1" applyNumberFormat="1" applyFont="1" applyFill="1" applyBorder="1"/>
    <xf numFmtId="164" fontId="4" fillId="0" borderId="0" xfId="1" applyNumberFormat="1" applyFont="1" applyFill="1" applyBorder="1"/>
    <xf numFmtId="164" fontId="4" fillId="0" borderId="10" xfId="1" applyNumberFormat="1" applyFont="1" applyFill="1" applyBorder="1"/>
    <xf numFmtId="164" fontId="2" fillId="0" borderId="10" xfId="0" applyNumberFormat="1" applyFont="1" applyBorder="1"/>
    <xf numFmtId="164" fontId="1" fillId="0" borderId="0" xfId="1" applyNumberFormat="1" applyFont="1" applyFill="1"/>
    <xf numFmtId="0" fontId="0" fillId="0" borderId="10" xfId="0" applyBorder="1"/>
    <xf numFmtId="164" fontId="0" fillId="0" borderId="10" xfId="0" applyNumberFormat="1" applyBorder="1"/>
    <xf numFmtId="164" fontId="0" fillId="0" borderId="0" xfId="0" applyNumberFormat="1"/>
    <xf numFmtId="164" fontId="4" fillId="0" borderId="3" xfId="1" applyNumberFormat="1" applyFont="1" applyFill="1" applyBorder="1"/>
    <xf numFmtId="164" fontId="4" fillId="0" borderId="1" xfId="1" applyNumberFormat="1" applyFont="1" applyFill="1" applyBorder="1"/>
    <xf numFmtId="164" fontId="4" fillId="0" borderId="6" xfId="1" applyNumberFormat="1" applyFont="1" applyFill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1" fillId="0" borderId="1" xfId="1" applyNumberFormat="1" applyFont="1" applyFill="1" applyBorder="1"/>
    <xf numFmtId="164" fontId="3" fillId="0" borderId="6" xfId="1" applyNumberFormat="1" applyFont="1" applyFill="1" applyBorder="1"/>
    <xf numFmtId="164" fontId="4" fillId="0" borderId="0" xfId="1" applyNumberFormat="1" applyFont="1" applyFill="1"/>
    <xf numFmtId="0" fontId="6" fillId="0" borderId="0" xfId="0" applyFont="1"/>
    <xf numFmtId="0" fontId="7" fillId="0" borderId="0" xfId="0" applyFont="1"/>
    <xf numFmtId="164" fontId="4" fillId="0" borderId="14" xfId="1" applyNumberFormat="1" applyFont="1" applyFill="1" applyBorder="1"/>
    <xf numFmtId="164" fontId="0" fillId="0" borderId="3" xfId="0" applyNumberFormat="1" applyBorder="1"/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164" fontId="3" fillId="0" borderId="3" xfId="1" applyNumberFormat="1" applyFont="1" applyFill="1" applyBorder="1"/>
    <xf numFmtId="164" fontId="3" fillId="0" borderId="1" xfId="1" applyNumberFormat="1" applyFont="1" applyFill="1" applyBorder="1"/>
    <xf numFmtId="164" fontId="3" fillId="0" borderId="14" xfId="1" applyNumberFormat="1" applyFont="1" applyFill="1" applyBorder="1"/>
    <xf numFmtId="0" fontId="2" fillId="0" borderId="0" xfId="0" applyFont="1" applyAlignment="1">
      <alignment horizontal="left"/>
    </xf>
    <xf numFmtId="164" fontId="2" fillId="0" borderId="8" xfId="0" applyNumberFormat="1" applyFont="1" applyBorder="1"/>
    <xf numFmtId="164" fontId="2" fillId="0" borderId="2" xfId="0" applyNumberFormat="1" applyFont="1" applyBorder="1"/>
    <xf numFmtId="164" fontId="2" fillId="0" borderId="17" xfId="0" applyNumberFormat="1" applyFont="1" applyBorder="1"/>
    <xf numFmtId="164" fontId="2" fillId="0" borderId="0" xfId="0" applyNumberFormat="1" applyFont="1"/>
    <xf numFmtId="165" fontId="0" fillId="0" borderId="0" xfId="0" applyNumberFormat="1" applyAlignment="1">
      <alignment horizontal="left"/>
    </xf>
    <xf numFmtId="165" fontId="5" fillId="0" borderId="11" xfId="0" applyNumberFormat="1" applyFont="1" applyBorder="1" applyAlignment="1">
      <alignment horizontal="left"/>
    </xf>
    <xf numFmtId="165" fontId="6" fillId="0" borderId="0" xfId="0" applyNumberFormat="1" applyFont="1"/>
    <xf numFmtId="165" fontId="7" fillId="0" borderId="0" xfId="0" applyNumberFormat="1" applyFont="1"/>
    <xf numFmtId="165" fontId="8" fillId="0" borderId="0" xfId="0" applyNumberFormat="1" applyFont="1"/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9" fontId="4" fillId="0" borderId="4" xfId="1" applyNumberFormat="1" applyFont="1" applyFill="1" applyBorder="1"/>
    <xf numFmtId="9" fontId="4" fillId="0" borderId="0" xfId="1" applyNumberFormat="1" applyFont="1" applyFill="1" applyBorder="1"/>
    <xf numFmtId="0" fontId="0" fillId="0" borderId="4" xfId="0" applyBorder="1"/>
    <xf numFmtId="43" fontId="0" fillId="0" borderId="0" xfId="1" applyFont="1" applyFill="1" applyAlignment="1">
      <alignment horizontal="left"/>
    </xf>
    <xf numFmtId="0" fontId="5" fillId="0" borderId="12" xfId="0" applyFont="1" applyBorder="1" applyAlignment="1">
      <alignment horizontal="center" wrapText="1"/>
    </xf>
    <xf numFmtId="0" fontId="0" fillId="2" borderId="7" xfId="0" applyFill="1" applyBorder="1"/>
    <xf numFmtId="164" fontId="4" fillId="2" borderId="7" xfId="1" applyNumberFormat="1" applyFont="1" applyFill="1" applyBorder="1"/>
    <xf numFmtId="0" fontId="2" fillId="2" borderId="7" xfId="0" applyFont="1" applyFill="1" applyBorder="1"/>
    <xf numFmtId="0" fontId="2" fillId="2" borderId="9" xfId="0" applyFont="1" applyFill="1" applyBorder="1"/>
    <xf numFmtId="0" fontId="0" fillId="2" borderId="10" xfId="0" applyFill="1" applyBorder="1"/>
    <xf numFmtId="0" fontId="2" fillId="2" borderId="4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0" fontId="2" fillId="2" borderId="17" xfId="0" applyFont="1" applyFill="1" applyBorder="1"/>
    <xf numFmtId="164" fontId="3" fillId="0" borderId="10" xfId="1" applyNumberFormat="1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164" fontId="11" fillId="0" borderId="0" xfId="1" applyNumberFormat="1" applyFont="1"/>
    <xf numFmtId="164" fontId="8" fillId="0" borderId="0" xfId="1" applyNumberFormat="1" applyFont="1"/>
    <xf numFmtId="164" fontId="6" fillId="0" borderId="0" xfId="1" applyNumberFormat="1" applyFont="1"/>
    <xf numFmtId="164" fontId="6" fillId="0" borderId="2" xfId="1" applyNumberFormat="1" applyFont="1" applyBorder="1"/>
    <xf numFmtId="1" fontId="0" fillId="0" borderId="0" xfId="0" applyNumberFormat="1" applyAlignment="1">
      <alignment horizontal="right"/>
    </xf>
    <xf numFmtId="164" fontId="6" fillId="0" borderId="1" xfId="1" applyNumberFormat="1" applyFont="1" applyBorder="1"/>
    <xf numFmtId="164" fontId="8" fillId="0" borderId="1" xfId="1" applyNumberFormat="1" applyFont="1" applyBorder="1"/>
    <xf numFmtId="0" fontId="3" fillId="0" borderId="0" xfId="0" applyFont="1" applyAlignment="1">
      <alignment horizontal="right"/>
    </xf>
    <xf numFmtId="164" fontId="1" fillId="0" borderId="0" xfId="1" applyNumberFormat="1" applyFont="1"/>
    <xf numFmtId="9" fontId="0" fillId="0" borderId="0" xfId="0" applyNumberFormat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" fontId="1" fillId="0" borderId="0" xfId="1" applyNumberFormat="1" applyFont="1" applyAlignment="1">
      <alignment horizontal="center"/>
    </xf>
    <xf numFmtId="1" fontId="1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43" fontId="1" fillId="0" borderId="0" xfId="1" applyFont="1"/>
    <xf numFmtId="43" fontId="1" fillId="0" borderId="0" xfId="1" applyFont="1" applyBorder="1"/>
    <xf numFmtId="44" fontId="1" fillId="0" borderId="0" xfId="2" applyFont="1"/>
    <xf numFmtId="43" fontId="1" fillId="0" borderId="0" xfId="1" applyFont="1" applyAlignment="1"/>
    <xf numFmtId="43" fontId="1" fillId="0" borderId="0" xfId="1" applyFont="1" applyBorder="1" applyAlignment="1"/>
    <xf numFmtId="43" fontId="1" fillId="0" borderId="1" xfId="1" applyFont="1" applyBorder="1"/>
    <xf numFmtId="44" fontId="1" fillId="0" borderId="1" xfId="2" applyFont="1" applyBorder="1"/>
    <xf numFmtId="43" fontId="0" fillId="0" borderId="0" xfId="1" applyFont="1" applyAlignment="1">
      <alignment horizontal="center"/>
    </xf>
    <xf numFmtId="10" fontId="0" fillId="0" borderId="0" xfId="0" applyNumberFormat="1"/>
    <xf numFmtId="44" fontId="0" fillId="0" borderId="0" xfId="0" applyNumberFormat="1"/>
    <xf numFmtId="43" fontId="0" fillId="0" borderId="0" xfId="1" applyFont="1"/>
    <xf numFmtId="164" fontId="3" fillId="0" borderId="5" xfId="1" applyNumberFormat="1" applyFont="1" applyFill="1" applyBorder="1"/>
    <xf numFmtId="164" fontId="2" fillId="0" borderId="1" xfId="0" applyNumberFormat="1" applyFont="1" applyBorder="1"/>
    <xf numFmtId="164" fontId="2" fillId="0" borderId="1" xfId="1" applyNumberFormat="1" applyFont="1" applyFill="1" applyBorder="1"/>
    <xf numFmtId="43" fontId="2" fillId="0" borderId="0" xfId="0" applyNumberFormat="1" applyFont="1"/>
    <xf numFmtId="164" fontId="3" fillId="0" borderId="0" xfId="1" applyNumberFormat="1" applyFont="1" applyFill="1" applyBorder="1"/>
    <xf numFmtId="164" fontId="3" fillId="0" borderId="8" xfId="1" applyNumberFormat="1" applyFont="1" applyFill="1" applyBorder="1"/>
    <xf numFmtId="164" fontId="3" fillId="0" borderId="2" xfId="1" applyNumberFormat="1" applyFont="1" applyFill="1" applyBorder="1"/>
    <xf numFmtId="164" fontId="9" fillId="0" borderId="0" xfId="1" applyNumberFormat="1" applyFont="1" applyFill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left"/>
    </xf>
    <xf numFmtId="164" fontId="9" fillId="0" borderId="0" xfId="0" applyNumberFormat="1" applyFont="1"/>
    <xf numFmtId="44" fontId="9" fillId="0" borderId="0" xfId="2" applyFont="1" applyFill="1"/>
    <xf numFmtId="164" fontId="2" fillId="0" borderId="0" xfId="1" applyNumberFormat="1" applyFont="1"/>
    <xf numFmtId="0" fontId="13" fillId="0" borderId="0" xfId="0" applyFont="1"/>
    <xf numFmtId="1" fontId="0" fillId="0" borderId="0" xfId="1" applyNumberFormat="1" applyFont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164" fontId="3" fillId="0" borderId="18" xfId="1" applyNumberFormat="1" applyFont="1" applyFill="1" applyBorder="1"/>
    <xf numFmtId="165" fontId="6" fillId="0" borderId="0" xfId="0" applyNumberFormat="1" applyFont="1" applyAlignment="1">
      <alignment horizontal="left"/>
    </xf>
    <xf numFmtId="0" fontId="0" fillId="2" borderId="19" xfId="0" applyFill="1" applyBorder="1"/>
    <xf numFmtId="0" fontId="0" fillId="2" borderId="18" xfId="0" applyFill="1" applyBorder="1"/>
    <xf numFmtId="164" fontId="4" fillId="0" borderId="0" xfId="3" applyNumberFormat="1" applyFont="1" applyFill="1"/>
    <xf numFmtId="164" fontId="1" fillId="0" borderId="0" xfId="1" applyNumberFormat="1" applyFont="1" applyAlignment="1"/>
    <xf numFmtId="164" fontId="0" fillId="0" borderId="0" xfId="1" applyNumberFormat="1" applyFont="1"/>
    <xf numFmtId="166" fontId="1" fillId="0" borderId="0" xfId="2" applyNumberFormat="1" applyFont="1"/>
    <xf numFmtId="164" fontId="1" fillId="0" borderId="1" xfId="1" applyNumberFormat="1" applyFont="1" applyBorder="1"/>
    <xf numFmtId="166" fontId="0" fillId="0" borderId="0" xfId="0" applyNumberFormat="1"/>
    <xf numFmtId="164" fontId="0" fillId="0" borderId="1" xfId="1" applyNumberFormat="1" applyFont="1" applyBorder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4" fontId="9" fillId="0" borderId="0" xfId="2" applyFont="1" applyFill="1" applyAlignment="1">
      <alignment horizontal="left"/>
    </xf>
    <xf numFmtId="165" fontId="9" fillId="0" borderId="0" xfId="2" applyNumberFormat="1" applyFont="1" applyFill="1" applyAlignment="1">
      <alignment horizontal="left"/>
    </xf>
    <xf numFmtId="44" fontId="9" fillId="0" borderId="0" xfId="2" applyFont="1" applyFill="1" applyBorder="1"/>
    <xf numFmtId="164" fontId="0" fillId="0" borderId="20" xfId="1" applyNumberFormat="1" applyFont="1" applyBorder="1" applyAlignment="1">
      <alignment horizontal="right"/>
    </xf>
    <xf numFmtId="164" fontId="3" fillId="0" borderId="21" xfId="1" applyNumberFormat="1" applyFont="1" applyFill="1" applyBorder="1"/>
    <xf numFmtId="164" fontId="2" fillId="0" borderId="18" xfId="0" applyNumberFormat="1" applyFont="1" applyBorder="1"/>
    <xf numFmtId="164" fontId="3" fillId="0" borderId="17" xfId="1" applyNumberFormat="1" applyFont="1" applyFill="1" applyBorder="1"/>
    <xf numFmtId="0" fontId="2" fillId="3" borderId="0" xfId="0" applyFont="1" applyFill="1" applyAlignment="1">
      <alignment horizontal="center"/>
    </xf>
    <xf numFmtId="164" fontId="1" fillId="3" borderId="0" xfId="1" applyNumberFormat="1" applyFont="1" applyFill="1"/>
    <xf numFmtId="164" fontId="1" fillId="3" borderId="0" xfId="1" applyNumberFormat="1" applyFont="1" applyFill="1" applyAlignment="1"/>
    <xf numFmtId="164" fontId="2" fillId="3" borderId="1" xfId="1" applyNumberFormat="1" applyFont="1" applyFill="1" applyBorder="1"/>
    <xf numFmtId="43" fontId="4" fillId="0" borderId="4" xfId="1" applyFont="1" applyFill="1" applyBorder="1"/>
    <xf numFmtId="164" fontId="0" fillId="0" borderId="0" xfId="1" applyNumberFormat="1" applyFont="1" applyFill="1" applyAlignment="1">
      <alignment horizontal="center"/>
    </xf>
    <xf numFmtId="0" fontId="3" fillId="0" borderId="11" xfId="0" applyFont="1" applyBorder="1" applyAlignment="1">
      <alignment horizontal="center"/>
    </xf>
    <xf numFmtId="164" fontId="8" fillId="0" borderId="11" xfId="3" applyNumberFormat="1" applyFont="1" applyFill="1" applyBorder="1" applyAlignment="1">
      <alignment horizontal="center" vertical="center" wrapText="1"/>
    </xf>
    <xf numFmtId="164" fontId="15" fillId="0" borderId="0" xfId="3" applyNumberFormat="1" applyFont="1" applyFill="1" applyBorder="1" applyAlignment="1">
      <alignment horizontal="center" wrapText="1"/>
    </xf>
    <xf numFmtId="164" fontId="3" fillId="0" borderId="11" xfId="1" applyNumberFormat="1" applyFont="1" applyFill="1" applyBorder="1" applyAlignment="1">
      <alignment horizontal="center" wrapText="1"/>
    </xf>
    <xf numFmtId="164" fontId="4" fillId="0" borderId="0" xfId="3" applyNumberFormat="1" applyFont="1" applyBorder="1"/>
    <xf numFmtId="164" fontId="4" fillId="0" borderId="0" xfId="3" applyNumberFormat="1" applyFont="1"/>
    <xf numFmtId="164" fontId="4" fillId="0" borderId="0" xfId="3" applyNumberFormat="1" applyFont="1" applyFill="1" applyBorder="1"/>
    <xf numFmtId="43" fontId="0" fillId="0" borderId="0" xfId="0" applyNumberFormat="1"/>
    <xf numFmtId="164" fontId="4" fillId="0" borderId="1" xfId="3" applyNumberFormat="1" applyFont="1" applyFill="1" applyBorder="1"/>
    <xf numFmtId="0" fontId="6" fillId="0" borderId="0" xfId="0" applyFont="1" applyAlignment="1">
      <alignment horizontal="right"/>
    </xf>
    <xf numFmtId="164" fontId="4" fillId="0" borderId="1" xfId="3" applyNumberFormat="1" applyFont="1" applyBorder="1"/>
    <xf numFmtId="164" fontId="4" fillId="0" borderId="0" xfId="1" applyNumberFormat="1" applyFont="1" applyBorder="1"/>
    <xf numFmtId="164" fontId="0" fillId="0" borderId="0" xfId="1" applyNumberFormat="1" applyFont="1" applyFill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164" fontId="8" fillId="0" borderId="11" xfId="3" applyNumberFormat="1" applyFont="1" applyFill="1" applyBorder="1" applyAlignment="1">
      <alignment horizontal="center" wrapText="1"/>
    </xf>
    <xf numFmtId="164" fontId="8" fillId="0" borderId="0" xfId="3" applyNumberFormat="1" applyFont="1" applyFill="1" applyBorder="1" applyAlignment="1">
      <alignment horizontal="center" wrapText="1"/>
    </xf>
    <xf numFmtId="164" fontId="7" fillId="0" borderId="0" xfId="3" applyNumberFormat="1" applyFont="1"/>
    <xf numFmtId="164" fontId="7" fillId="0" borderId="0" xfId="3" applyNumberFormat="1" applyFont="1" applyBorder="1"/>
    <xf numFmtId="164" fontId="7" fillId="0" borderId="0" xfId="3" applyNumberFormat="1" applyFont="1" applyFill="1"/>
    <xf numFmtId="164" fontId="7" fillId="0" borderId="0" xfId="3" applyNumberFormat="1" applyFont="1" applyFill="1" applyBorder="1"/>
    <xf numFmtId="0" fontId="7" fillId="0" borderId="0" xfId="0" applyFont="1" applyAlignment="1">
      <alignment horizontal="right"/>
    </xf>
    <xf numFmtId="164" fontId="7" fillId="0" borderId="1" xfId="3" applyNumberFormat="1" applyFont="1" applyBorder="1"/>
    <xf numFmtId="164" fontId="7" fillId="0" borderId="1" xfId="3" applyNumberFormat="1" applyFont="1" applyFill="1" applyBorder="1"/>
    <xf numFmtId="0" fontId="7" fillId="0" borderId="0" xfId="0" applyFont="1" applyAlignment="1">
      <alignment horizontal="left"/>
    </xf>
    <xf numFmtId="7" fontId="18" fillId="0" borderId="0" xfId="11" applyNumberFormat="1" applyFont="1" applyAlignment="1">
      <alignment horizontal="right" vertical="center"/>
    </xf>
    <xf numFmtId="164" fontId="0" fillId="0" borderId="0" xfId="3" applyNumberFormat="1" applyFont="1" applyFill="1"/>
    <xf numFmtId="7" fontId="18" fillId="0" borderId="0" xfId="12" applyNumberFormat="1" applyFont="1" applyAlignment="1">
      <alignment horizontal="right" vertical="center"/>
    </xf>
    <xf numFmtId="43" fontId="0" fillId="0" borderId="0" xfId="6" applyFont="1"/>
    <xf numFmtId="164" fontId="0" fillId="0" borderId="0" xfId="3" applyNumberFormat="1" applyFont="1"/>
    <xf numFmtId="43" fontId="0" fillId="0" borderId="0" xfId="6" applyFont="1" applyBorder="1"/>
    <xf numFmtId="164" fontId="7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13">
    <cellStyle name="Comma" xfId="1" builtinId="3"/>
    <cellStyle name="Comma 2" xfId="3" xr:uid="{00000000-0005-0000-0000-000001000000}"/>
    <cellStyle name="Comma 2 6" xfId="4" xr:uid="{00000000-0005-0000-0000-000002000000}"/>
    <cellStyle name="Comma 3" xfId="6" xr:uid="{00000000-0005-0000-0000-000003000000}"/>
    <cellStyle name="Currency" xfId="2" builtinId="4"/>
    <cellStyle name="Currency 2" xfId="7" xr:uid="{00000000-0005-0000-0000-000005000000}"/>
    <cellStyle name="Normal" xfId="0" builtinId="0"/>
    <cellStyle name="Normal 2" xfId="9" xr:uid="{00000000-0005-0000-0000-000007000000}"/>
    <cellStyle name="Normal 3" xfId="10" xr:uid="{00000000-0005-0000-0000-000008000000}"/>
    <cellStyle name="Normal 4" xfId="5" xr:uid="{00000000-0005-0000-0000-000009000000}"/>
    <cellStyle name="Normal_Sheet1 (2)" xfId="12" xr:uid="{A819FCA9-2188-4B14-8806-FA55AA043D92}"/>
    <cellStyle name="Normal_Sheet4" xfId="11" xr:uid="{01530CCC-3EF3-4AC2-827B-A72A019A9B0E}"/>
    <cellStyle name="Percent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AA70"/>
  <sheetViews>
    <sheetView tabSelected="1" zoomScaleNormal="100" workbookViewId="0">
      <selection activeCell="L19" sqref="L19"/>
    </sheetView>
  </sheetViews>
  <sheetFormatPr defaultRowHeight="14.25"/>
  <cols>
    <col min="1" max="1" width="42.140625" style="3" customWidth="1"/>
    <col min="2" max="2" width="7.7109375" style="47" bestFit="1" customWidth="1"/>
    <col min="3" max="3" width="9.140625" bestFit="1" customWidth="1"/>
    <col min="4" max="5" width="7" bestFit="1" customWidth="1"/>
    <col min="6" max="6" width="12.5703125" bestFit="1" customWidth="1"/>
    <col min="7" max="7" width="0.42578125" customWidth="1"/>
    <col min="8" max="8" width="10.5703125" customWidth="1"/>
    <col min="9" max="9" width="0.5703125" customWidth="1"/>
    <col min="10" max="10" width="10.7109375" customWidth="1"/>
    <col min="11" max="11" width="0.7109375" customWidth="1"/>
    <col min="12" max="13" width="12.28515625" bestFit="1" customWidth="1"/>
    <col min="14" max="14" width="9" bestFit="1" customWidth="1"/>
    <col min="15" max="15" width="10.5703125" customWidth="1"/>
    <col min="16" max="16" width="10.5703125" bestFit="1" customWidth="1"/>
    <col min="17" max="17" width="9" bestFit="1" customWidth="1"/>
    <col min="18" max="18" width="8" bestFit="1" customWidth="1"/>
    <col min="19" max="19" width="11.7109375" customWidth="1"/>
    <col min="20" max="20" width="8" bestFit="1" customWidth="1"/>
    <col min="21" max="21" width="10.7109375" customWidth="1"/>
    <col min="22" max="22" width="9.7109375" hidden="1" customWidth="1"/>
    <col min="23" max="23" width="10.5703125" hidden="1" customWidth="1"/>
    <col min="24" max="24" width="11" customWidth="1"/>
    <col min="25" max="25" width="9.7109375" bestFit="1" customWidth="1"/>
  </cols>
  <sheetData>
    <row r="1" spans="1:27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</row>
    <row r="2" spans="1:27">
      <c r="A2" s="185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7">
      <c r="A3" s="185" t="s">
        <v>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spans="1:27" ht="9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7" ht="66.400000000000006" thickBot="1">
      <c r="A5" s="4" t="s">
        <v>3</v>
      </c>
      <c r="B5" s="48"/>
      <c r="C5" s="5" t="s">
        <v>4</v>
      </c>
      <c r="D5" s="60" t="s">
        <v>5</v>
      </c>
      <c r="E5" s="60" t="s">
        <v>6</v>
      </c>
      <c r="F5" s="7" t="s">
        <v>7</v>
      </c>
      <c r="G5" s="6"/>
      <c r="H5" s="7" t="s">
        <v>8</v>
      </c>
      <c r="I5" s="6"/>
      <c r="J5" s="8" t="s">
        <v>9</v>
      </c>
      <c r="K5" s="9"/>
      <c r="L5" s="5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8" t="s">
        <v>19</v>
      </c>
      <c r="W5" s="10" t="s">
        <v>20</v>
      </c>
      <c r="X5" s="11"/>
    </row>
    <row r="6" spans="1:27">
      <c r="A6" s="3" t="s">
        <v>21</v>
      </c>
      <c r="B6" s="59">
        <v>15</v>
      </c>
      <c r="C6" s="141">
        <f>Enrollment!J9</f>
        <v>1286.05</v>
      </c>
      <c r="D6" s="12">
        <v>0</v>
      </c>
      <c r="E6" s="20">
        <f>+C6+D6</f>
        <v>1286.05</v>
      </c>
      <c r="F6" s="149">
        <f>+B6*E6</f>
        <v>19290.75</v>
      </c>
      <c r="G6" s="14"/>
      <c r="H6" s="14">
        <v>0</v>
      </c>
      <c r="I6" s="14"/>
      <c r="J6" s="15">
        <f>+F6+H6</f>
        <v>19290.75</v>
      </c>
      <c r="K6" s="14"/>
      <c r="L6" s="13">
        <f>+J6</f>
        <v>19290.75</v>
      </c>
      <c r="M6" s="14"/>
      <c r="N6" s="14"/>
      <c r="O6" s="14"/>
      <c r="P6" s="14"/>
      <c r="Q6" s="14"/>
      <c r="R6" s="14"/>
      <c r="S6" s="14"/>
      <c r="T6" s="14"/>
      <c r="U6" s="16">
        <f>SUM(L6:T6)</f>
        <v>19290.75</v>
      </c>
      <c r="W6" s="17">
        <v>18800</v>
      </c>
    </row>
    <row r="7" spans="1:27" s="36" customFormat="1">
      <c r="A7" s="42" t="s">
        <v>19</v>
      </c>
      <c r="B7" s="52"/>
      <c r="C7" s="108">
        <f>SUM(C6)</f>
        <v>1286.05</v>
      </c>
      <c r="D7" s="108">
        <f t="shared" ref="D7:U7" si="0">SUM(D6)</f>
        <v>0</v>
      </c>
      <c r="E7" s="39">
        <f t="shared" si="0"/>
        <v>1286.05</v>
      </c>
      <c r="F7" s="39">
        <f>SUM(F6)</f>
        <v>19290.75</v>
      </c>
      <c r="G7" s="40">
        <f t="shared" si="0"/>
        <v>0</v>
      </c>
      <c r="H7" s="40">
        <f t="shared" si="0"/>
        <v>0</v>
      </c>
      <c r="I7" s="40">
        <f t="shared" si="0"/>
        <v>0</v>
      </c>
      <c r="J7" s="27">
        <f t="shared" si="0"/>
        <v>19290.75</v>
      </c>
      <c r="K7" s="40">
        <f t="shared" si="0"/>
        <v>0</v>
      </c>
      <c r="L7" s="39">
        <f t="shared" si="0"/>
        <v>19290.75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 t="shared" si="0"/>
        <v>0</v>
      </c>
      <c r="R7" s="40">
        <f t="shared" si="0"/>
        <v>0</v>
      </c>
      <c r="S7" s="40">
        <f t="shared" si="0"/>
        <v>0</v>
      </c>
      <c r="T7" s="40">
        <f t="shared" si="0"/>
        <v>0</v>
      </c>
      <c r="U7" s="27">
        <f t="shared" si="0"/>
        <v>19290.75</v>
      </c>
      <c r="V7" s="109">
        <f>J7-U7</f>
        <v>0</v>
      </c>
      <c r="W7" s="110">
        <f>SUM(W5:W6)</f>
        <v>18800</v>
      </c>
      <c r="X7" s="111"/>
    </row>
    <row r="8" spans="1:27" hidden="1">
      <c r="C8" s="12"/>
      <c r="F8" s="13"/>
      <c r="G8" s="14"/>
      <c r="H8" s="14"/>
      <c r="I8" s="14"/>
      <c r="J8" s="15"/>
      <c r="K8" s="14"/>
      <c r="L8" s="56">
        <f>+L17/U17</f>
        <v>0.2908117744987424</v>
      </c>
      <c r="M8" s="57">
        <f>+M17/U17</f>
        <v>0.30323251498394149</v>
      </c>
      <c r="N8" s="57">
        <f>+N17/U17</f>
        <v>7.6062694042101878E-2</v>
      </c>
      <c r="O8" s="57">
        <f>+O17/U17</f>
        <v>5.4185029860863348E-2</v>
      </c>
      <c r="P8" s="57">
        <f>+P17/U17</f>
        <v>4.5637616425261124E-2</v>
      </c>
      <c r="Q8" s="57">
        <f>+Q17/U17</f>
        <v>6.0850155233681487E-2</v>
      </c>
      <c r="R8" s="57">
        <f>+R17/U17</f>
        <v>3.0425077616840743E-2</v>
      </c>
      <c r="S8" s="57">
        <f>+S17/U17</f>
        <v>9.1275232850522248E-2</v>
      </c>
      <c r="T8" s="57">
        <f>+T17/U17</f>
        <v>4.7519904488045189E-2</v>
      </c>
      <c r="U8" s="18"/>
      <c r="W8" s="17"/>
    </row>
    <row r="9" spans="1:27">
      <c r="A9" s="3" t="s">
        <v>22</v>
      </c>
      <c r="C9" s="12"/>
      <c r="E9" s="123"/>
      <c r="F9" s="13"/>
      <c r="G9" s="14"/>
      <c r="H9" s="14"/>
      <c r="I9" s="14"/>
      <c r="J9" s="15"/>
      <c r="K9" s="14"/>
      <c r="L9" s="58"/>
      <c r="U9" s="18"/>
      <c r="W9" s="17"/>
    </row>
    <row r="10" spans="1:27">
      <c r="A10" s="3" t="s">
        <v>23</v>
      </c>
      <c r="B10" s="59">
        <v>72.150000000000006</v>
      </c>
      <c r="C10" s="12">
        <f>Enrollment!J13</f>
        <v>2571.25</v>
      </c>
      <c r="D10" s="13">
        <v>0</v>
      </c>
      <c r="E10" s="124">
        <f t="shared" ref="E10:E11" si="1">+C10+D10</f>
        <v>2571.25</v>
      </c>
      <c r="F10" s="13">
        <f>+E10*B10</f>
        <v>185515.68750000003</v>
      </c>
      <c r="G10" s="14"/>
      <c r="H10" s="14">
        <v>0</v>
      </c>
      <c r="I10" s="14"/>
      <c r="J10" s="15">
        <f>+F10+H10</f>
        <v>185515.68750000003</v>
      </c>
      <c r="K10" s="14"/>
      <c r="L10" s="13">
        <f>E10*21.15</f>
        <v>54381.937499999993</v>
      </c>
      <c r="M10" s="14">
        <f>E10*23</f>
        <v>59138.75</v>
      </c>
      <c r="N10" s="14">
        <f>E10*5</f>
        <v>12856.25</v>
      </c>
      <c r="O10" s="14">
        <f>E10*4</f>
        <v>10285</v>
      </c>
      <c r="P10" s="14">
        <f>E10*3</f>
        <v>7713.75</v>
      </c>
      <c r="Q10" s="14">
        <f>E10*4</f>
        <v>10285</v>
      </c>
      <c r="R10" s="14">
        <f>E10*2</f>
        <v>5142.5</v>
      </c>
      <c r="S10" s="14">
        <f>+E10*6</f>
        <v>15427.5</v>
      </c>
      <c r="T10" s="14">
        <f>E10*4</f>
        <v>10285</v>
      </c>
      <c r="U10" s="19">
        <f>SUM(L10:T10)</f>
        <v>185515.6875</v>
      </c>
      <c r="V10" s="20">
        <f>J10-U10</f>
        <v>0</v>
      </c>
      <c r="W10" s="17">
        <v>306741</v>
      </c>
    </row>
    <row r="11" spans="1:27">
      <c r="A11" s="3" t="s">
        <v>24</v>
      </c>
      <c r="B11" s="59">
        <v>52.15</v>
      </c>
      <c r="C11" s="12">
        <f>Enrollment!J14</f>
        <v>1786.7</v>
      </c>
      <c r="D11" s="13">
        <v>0</v>
      </c>
      <c r="E11" s="124">
        <f t="shared" si="1"/>
        <v>1786.7</v>
      </c>
      <c r="F11" s="13">
        <f>+E11*B11</f>
        <v>93176.404999999999</v>
      </c>
      <c r="G11" s="14"/>
      <c r="H11" s="14">
        <v>0</v>
      </c>
      <c r="I11" s="14"/>
      <c r="J11" s="15">
        <f>+F11+H11</f>
        <v>93176.404999999999</v>
      </c>
      <c r="K11" s="14"/>
      <c r="L11" s="13">
        <f>E11*11.15</f>
        <v>19921.705000000002</v>
      </c>
      <c r="M11" s="14">
        <f>E11*16</f>
        <v>28587.200000000001</v>
      </c>
      <c r="N11" s="14">
        <f>E11*5</f>
        <v>8933.5</v>
      </c>
      <c r="O11" s="14">
        <f>E11*3</f>
        <v>5360.1</v>
      </c>
      <c r="P11" s="14">
        <f>E11*3</f>
        <v>5360.1</v>
      </c>
      <c r="Q11" s="14">
        <f>E11*4</f>
        <v>7146.8</v>
      </c>
      <c r="R11" s="14">
        <f>E11*2</f>
        <v>3573.4</v>
      </c>
      <c r="S11" s="14">
        <f>+E11*6</f>
        <v>10720.2</v>
      </c>
      <c r="T11" s="14">
        <f>E11*2</f>
        <v>3573.4</v>
      </c>
      <c r="U11" s="19">
        <f>SUM(L11:T11)</f>
        <v>93176.404999999984</v>
      </c>
      <c r="V11" s="20">
        <f>J11-U11</f>
        <v>0</v>
      </c>
      <c r="W11" s="17">
        <v>94866</v>
      </c>
    </row>
    <row r="12" spans="1:27" s="36" customFormat="1">
      <c r="A12" s="42" t="s">
        <v>19</v>
      </c>
      <c r="B12" s="52"/>
      <c r="C12" s="108">
        <f>SUM(C10:C11)</f>
        <v>4357.95</v>
      </c>
      <c r="D12" s="39">
        <f t="shared" ref="D12:E12" si="2">SUM(D10:D11)</f>
        <v>0</v>
      </c>
      <c r="E12" s="108">
        <f t="shared" si="2"/>
        <v>4357.95</v>
      </c>
      <c r="F12" s="39">
        <f>SUM(F10:F11)</f>
        <v>278692.09250000003</v>
      </c>
      <c r="G12" s="112"/>
      <c r="H12" s="40">
        <f>SUM(H10:H11)</f>
        <v>0</v>
      </c>
      <c r="I12" s="112"/>
      <c r="J12" s="27">
        <f>SUM(J10:J11)</f>
        <v>278692.09250000003</v>
      </c>
      <c r="K12" s="112"/>
      <c r="L12" s="39">
        <f t="shared" ref="L12:T12" si="3">SUM(L10:L11)</f>
        <v>74303.642499999987</v>
      </c>
      <c r="M12" s="40">
        <f t="shared" si="3"/>
        <v>87725.95</v>
      </c>
      <c r="N12" s="40">
        <f t="shared" si="3"/>
        <v>21789.75</v>
      </c>
      <c r="O12" s="40">
        <f t="shared" si="3"/>
        <v>15645.1</v>
      </c>
      <c r="P12" s="40">
        <f t="shared" si="3"/>
        <v>13073.85</v>
      </c>
      <c r="Q12" s="40">
        <f t="shared" si="3"/>
        <v>17431.8</v>
      </c>
      <c r="R12" s="40">
        <f t="shared" si="3"/>
        <v>8715.9</v>
      </c>
      <c r="S12" s="40">
        <f t="shared" si="3"/>
        <v>26147.7</v>
      </c>
      <c r="T12" s="40">
        <f t="shared" si="3"/>
        <v>13858.4</v>
      </c>
      <c r="U12" s="24">
        <f>SUM(U10:U11)</f>
        <v>278692.09249999997</v>
      </c>
      <c r="V12" s="109">
        <f>J12-U12</f>
        <v>0</v>
      </c>
      <c r="W12" s="110">
        <f>SUM(W10:W11)</f>
        <v>401607</v>
      </c>
      <c r="X12" s="111"/>
    </row>
    <row r="13" spans="1:27">
      <c r="A13" s="3" t="s">
        <v>25</v>
      </c>
      <c r="C13" s="12"/>
      <c r="E13" s="123"/>
      <c r="F13" s="13"/>
      <c r="G13" s="14"/>
      <c r="H13" s="14"/>
      <c r="I13" s="14"/>
      <c r="J13" s="15"/>
      <c r="K13" s="14"/>
      <c r="L13" s="13"/>
      <c r="M13" s="14"/>
      <c r="N13" s="14"/>
      <c r="O13" s="14"/>
      <c r="P13" s="14"/>
      <c r="Q13" s="14"/>
      <c r="R13" s="14"/>
      <c r="S13" s="14"/>
      <c r="T13" s="14"/>
      <c r="U13" s="18"/>
      <c r="W13" s="17"/>
    </row>
    <row r="14" spans="1:27">
      <c r="A14" s="3" t="s">
        <v>23</v>
      </c>
      <c r="B14" s="59">
        <v>72.150000000000006</v>
      </c>
      <c r="C14" s="12">
        <f>Enrollment!J18</f>
        <v>2045.1</v>
      </c>
      <c r="D14" s="20">
        <v>0</v>
      </c>
      <c r="E14" s="124">
        <f t="shared" ref="E14:E15" si="4">+C14+D14</f>
        <v>2045.1</v>
      </c>
      <c r="F14" s="13">
        <f>+E14*B14</f>
        <v>147553.965</v>
      </c>
      <c r="G14" s="14"/>
      <c r="H14" s="14">
        <v>0</v>
      </c>
      <c r="I14" s="14"/>
      <c r="J14" s="15">
        <f>+F14+H14</f>
        <v>147553.965</v>
      </c>
      <c r="K14" s="14"/>
      <c r="L14" s="13">
        <f>E14*21.15</f>
        <v>43253.864999999998</v>
      </c>
      <c r="M14" s="14">
        <f>E14*23</f>
        <v>47037.299999999996</v>
      </c>
      <c r="N14" s="14">
        <f>E14*5</f>
        <v>10225.5</v>
      </c>
      <c r="O14" s="14">
        <f>E14*4</f>
        <v>8180.4</v>
      </c>
      <c r="P14" s="14">
        <f>E14*3</f>
        <v>6135.2999999999993</v>
      </c>
      <c r="Q14" s="14">
        <f>E14*4</f>
        <v>8180.4</v>
      </c>
      <c r="R14" s="14">
        <f>E14*2</f>
        <v>4090.2</v>
      </c>
      <c r="S14" s="14">
        <f>E14*6</f>
        <v>12270.599999999999</v>
      </c>
      <c r="T14" s="14">
        <f>E14*4</f>
        <v>8180.4</v>
      </c>
      <c r="U14" s="19">
        <f>SUM(L14:T14)+1</f>
        <v>147554.96499999997</v>
      </c>
      <c r="V14" s="20">
        <f>J14-U14</f>
        <v>-0.99999999997089617</v>
      </c>
      <c r="W14" s="17">
        <v>278337</v>
      </c>
      <c r="AA14" t="s">
        <v>26</v>
      </c>
    </row>
    <row r="15" spans="1:27">
      <c r="A15" s="3" t="s">
        <v>24</v>
      </c>
      <c r="B15" s="59">
        <v>52.15</v>
      </c>
      <c r="C15" s="12">
        <f>Enrollment!J19</f>
        <v>1813.05</v>
      </c>
      <c r="D15" s="20">
        <v>0</v>
      </c>
      <c r="E15" s="124">
        <f t="shared" si="4"/>
        <v>1813.05</v>
      </c>
      <c r="F15" s="13">
        <f>+E15*B15</f>
        <v>94550.557499999995</v>
      </c>
      <c r="G15" s="14"/>
      <c r="H15" s="14">
        <v>0</v>
      </c>
      <c r="I15" s="14"/>
      <c r="J15" s="15">
        <f>+F15+H15</f>
        <v>94550.557499999995</v>
      </c>
      <c r="K15" s="14"/>
      <c r="L15" s="13">
        <f>E15*11.15</f>
        <v>20215.5075</v>
      </c>
      <c r="M15" s="14">
        <f>E15*16</f>
        <v>29008.799999999999</v>
      </c>
      <c r="N15" s="14">
        <f>E15*5</f>
        <v>9065.25</v>
      </c>
      <c r="O15" s="14">
        <f>E15*3</f>
        <v>5439.15</v>
      </c>
      <c r="P15" s="14">
        <f>E15*3</f>
        <v>5439.15</v>
      </c>
      <c r="Q15" s="14">
        <f>E15*4</f>
        <v>7252.2</v>
      </c>
      <c r="R15" s="14">
        <f>E15*2</f>
        <v>3626.1</v>
      </c>
      <c r="S15" s="14">
        <f>E15*6</f>
        <v>10878.3</v>
      </c>
      <c r="T15" s="14">
        <f>E15*2</f>
        <v>3626.1</v>
      </c>
      <c r="U15" s="19">
        <f t="shared" ref="U15:U19" si="5">SUM(L15:T15)</f>
        <v>94550.55750000001</v>
      </c>
      <c r="V15" s="20">
        <f>J15-U15</f>
        <v>0</v>
      </c>
      <c r="W15" s="17">
        <v>101891</v>
      </c>
    </row>
    <row r="16" spans="1:27" s="36" customFormat="1">
      <c r="A16" s="42" t="s">
        <v>19</v>
      </c>
      <c r="B16" s="52"/>
      <c r="C16" s="108">
        <f>SUM(C14:C15)</f>
        <v>3858.1499999999996</v>
      </c>
      <c r="D16" s="108">
        <f>SUM(D14:D15)</f>
        <v>0</v>
      </c>
      <c r="E16" s="108">
        <f>SUM(E14:E15)</f>
        <v>3858.1499999999996</v>
      </c>
      <c r="F16" s="39">
        <f>SUM(F14:F15)</f>
        <v>242104.52249999999</v>
      </c>
      <c r="G16" s="112"/>
      <c r="H16" s="40">
        <f>SUM(H14:H15)</f>
        <v>0</v>
      </c>
      <c r="I16" s="112"/>
      <c r="J16" s="125">
        <f>SUM(J14:J15)</f>
        <v>242104.52249999999</v>
      </c>
      <c r="K16" s="112"/>
      <c r="L16" s="142">
        <f t="shared" ref="L16:T16" si="6">SUM(L14:L15)</f>
        <v>63469.372499999998</v>
      </c>
      <c r="M16" s="41">
        <f t="shared" si="6"/>
        <v>76046.099999999991</v>
      </c>
      <c r="N16" s="41">
        <f t="shared" si="6"/>
        <v>19290.75</v>
      </c>
      <c r="O16" s="41">
        <f t="shared" si="6"/>
        <v>13619.55</v>
      </c>
      <c r="P16" s="41">
        <f t="shared" si="6"/>
        <v>11574.449999999999</v>
      </c>
      <c r="Q16" s="41">
        <f t="shared" si="6"/>
        <v>15432.599999999999</v>
      </c>
      <c r="R16" s="41">
        <f t="shared" si="6"/>
        <v>7716.2999999999993</v>
      </c>
      <c r="S16" s="41">
        <f t="shared" si="6"/>
        <v>23148.899999999998</v>
      </c>
      <c r="T16" s="41">
        <f t="shared" si="6"/>
        <v>11806.5</v>
      </c>
      <c r="U16" s="143">
        <f>SUM(U14:U15)-1</f>
        <v>242104.52249999996</v>
      </c>
      <c r="V16" s="109">
        <f>J16-U16</f>
        <v>0</v>
      </c>
      <c r="W16" s="110">
        <f>SUM(W14:W15)</f>
        <v>380228</v>
      </c>
      <c r="X16" s="111"/>
    </row>
    <row r="17" spans="1:24" s="36" customFormat="1">
      <c r="A17" s="42" t="s">
        <v>27</v>
      </c>
      <c r="B17" s="52"/>
      <c r="C17" s="112"/>
      <c r="F17" s="113">
        <f>+F12+F16+F7</f>
        <v>540087.36499999999</v>
      </c>
      <c r="G17" s="114"/>
      <c r="H17" s="114">
        <f t="shared" ref="H17:V17" si="7">H6+H12+H16</f>
        <v>0</v>
      </c>
      <c r="I17" s="114">
        <f t="shared" si="7"/>
        <v>0</v>
      </c>
      <c r="J17" s="27">
        <f>+J12+J16+J7</f>
        <v>540087.36499999999</v>
      </c>
      <c r="K17" s="114">
        <f t="shared" si="7"/>
        <v>0</v>
      </c>
      <c r="L17" s="39">
        <f t="shared" ref="L17:U17" si="8">+L12+L16+L7</f>
        <v>157063.76499999998</v>
      </c>
      <c r="M17" s="40">
        <f t="shared" si="8"/>
        <v>163772.04999999999</v>
      </c>
      <c r="N17" s="40">
        <f t="shared" si="8"/>
        <v>41080.5</v>
      </c>
      <c r="O17" s="40">
        <f t="shared" si="8"/>
        <v>29264.65</v>
      </c>
      <c r="P17" s="40">
        <f t="shared" si="8"/>
        <v>24648.3</v>
      </c>
      <c r="Q17" s="40">
        <f t="shared" si="8"/>
        <v>32864.399999999994</v>
      </c>
      <c r="R17" s="40">
        <f t="shared" si="8"/>
        <v>16432.199999999997</v>
      </c>
      <c r="S17" s="40">
        <f t="shared" si="8"/>
        <v>49296.6</v>
      </c>
      <c r="T17" s="40">
        <f t="shared" si="8"/>
        <v>25664.9</v>
      </c>
      <c r="U17" s="27">
        <f t="shared" si="8"/>
        <v>540087.36499999999</v>
      </c>
      <c r="V17" s="114">
        <f t="shared" si="7"/>
        <v>0</v>
      </c>
      <c r="W17" s="114">
        <f>W6+W12+W16</f>
        <v>800635</v>
      </c>
      <c r="X17" s="111"/>
    </row>
    <row r="18" spans="1:24" hidden="1">
      <c r="A18" s="3" t="s">
        <v>28</v>
      </c>
      <c r="C18" s="14"/>
      <c r="F18" s="13"/>
      <c r="G18" s="14"/>
      <c r="H18" s="14">
        <v>0</v>
      </c>
      <c r="I18" s="14"/>
      <c r="J18" s="15">
        <f>+F18+H18</f>
        <v>0</v>
      </c>
      <c r="K18" s="14"/>
      <c r="L18" s="13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5">
        <f t="shared" si="5"/>
        <v>0</v>
      </c>
      <c r="W18" s="17">
        <v>1500</v>
      </c>
    </row>
    <row r="19" spans="1:24">
      <c r="A19" s="3" t="s">
        <v>29</v>
      </c>
      <c r="C19" s="14"/>
      <c r="F19" s="13">
        <v>100982</v>
      </c>
      <c r="G19" s="14"/>
      <c r="H19" s="14">
        <v>0</v>
      </c>
      <c r="I19" s="14"/>
      <c r="J19" s="15">
        <f>+F19+H19</f>
        <v>100982</v>
      </c>
      <c r="K19" s="14"/>
      <c r="L19" s="13">
        <v>100982</v>
      </c>
      <c r="M19" s="14"/>
      <c r="N19" s="14"/>
      <c r="O19" s="14"/>
      <c r="P19" s="14"/>
      <c r="Q19" s="14"/>
      <c r="R19" s="14"/>
      <c r="S19" s="14">
        <v>0</v>
      </c>
      <c r="T19" s="14"/>
      <c r="U19" s="15">
        <f t="shared" si="5"/>
        <v>100982</v>
      </c>
      <c r="W19" s="17"/>
    </row>
    <row r="20" spans="1:24" s="36" customFormat="1">
      <c r="A20" s="42" t="s">
        <v>30</v>
      </c>
      <c r="B20" s="52"/>
      <c r="C20" s="112"/>
      <c r="F20" s="39">
        <f t="shared" ref="F20:U20" si="9">SUM(F17:F19)</f>
        <v>641069.36499999999</v>
      </c>
      <c r="G20" s="40">
        <f t="shared" si="9"/>
        <v>0</v>
      </c>
      <c r="H20" s="40">
        <f t="shared" si="9"/>
        <v>0</v>
      </c>
      <c r="I20" s="40">
        <f t="shared" si="9"/>
        <v>0</v>
      </c>
      <c r="J20" s="27">
        <f t="shared" si="9"/>
        <v>641069.36499999999</v>
      </c>
      <c r="K20" s="39">
        <f t="shared" si="9"/>
        <v>0</v>
      </c>
      <c r="L20" s="39">
        <f t="shared" si="9"/>
        <v>258045.76499999998</v>
      </c>
      <c r="M20" s="40">
        <f t="shared" si="9"/>
        <v>163772.04999999999</v>
      </c>
      <c r="N20" s="40">
        <f t="shared" si="9"/>
        <v>41080.5</v>
      </c>
      <c r="O20" s="40">
        <f t="shared" si="9"/>
        <v>29264.65</v>
      </c>
      <c r="P20" s="40">
        <f t="shared" si="9"/>
        <v>24648.3</v>
      </c>
      <c r="Q20" s="40">
        <f t="shared" si="9"/>
        <v>32864.399999999994</v>
      </c>
      <c r="R20" s="40">
        <f t="shared" si="9"/>
        <v>16432.199999999997</v>
      </c>
      <c r="S20" s="40">
        <f t="shared" si="9"/>
        <v>49296.6</v>
      </c>
      <c r="T20" s="40">
        <f t="shared" si="9"/>
        <v>25664.9</v>
      </c>
      <c r="U20" s="27">
        <f t="shared" si="9"/>
        <v>641069.36499999999</v>
      </c>
      <c r="V20" s="40">
        <f>SUM(V17:V18)</f>
        <v>0</v>
      </c>
      <c r="W20" s="40">
        <f>SUM(W17:W18)</f>
        <v>802135</v>
      </c>
    </row>
    <row r="21" spans="1:24">
      <c r="C21" s="14"/>
      <c r="F21" s="14"/>
      <c r="G21" s="14"/>
      <c r="H21" s="14"/>
      <c r="I21" s="14"/>
      <c r="J21" s="15"/>
      <c r="K21" s="14"/>
      <c r="L21" s="13"/>
      <c r="M21" s="14"/>
      <c r="N21" s="14"/>
      <c r="O21" s="14"/>
      <c r="P21" s="14"/>
      <c r="Q21" s="14"/>
      <c r="R21" s="14"/>
      <c r="S21" s="14"/>
      <c r="T21" s="14"/>
      <c r="U21" s="70"/>
      <c r="V21" s="14"/>
      <c r="W21" s="14"/>
    </row>
    <row r="22" spans="1:24">
      <c r="A22" s="42" t="s">
        <v>31</v>
      </c>
      <c r="F22" s="14"/>
      <c r="G22" s="14"/>
      <c r="H22" s="14"/>
      <c r="I22" s="14"/>
      <c r="J22" s="15"/>
      <c r="K22" s="14"/>
      <c r="L22" s="13"/>
      <c r="M22" s="14"/>
      <c r="N22" s="14"/>
      <c r="O22" s="14"/>
      <c r="P22" s="14"/>
      <c r="Q22" s="14"/>
      <c r="R22" s="14"/>
      <c r="S22" s="14"/>
      <c r="T22" s="14"/>
      <c r="U22" s="18"/>
      <c r="W22" s="17"/>
    </row>
    <row r="23" spans="1:24">
      <c r="A23" s="54" t="s">
        <v>32</v>
      </c>
      <c r="B23" s="126"/>
      <c r="C23" s="127"/>
      <c r="D23" s="127"/>
      <c r="E23" s="128"/>
      <c r="F23" s="13">
        <v>80000</v>
      </c>
      <c r="G23" s="14"/>
      <c r="H23" s="14">
        <v>0</v>
      </c>
      <c r="I23" s="14"/>
      <c r="J23" s="15">
        <f t="shared" ref="J23:J38" si="10">+F23+H23</f>
        <v>80000</v>
      </c>
      <c r="K23" s="14"/>
      <c r="L23" s="13">
        <f>'Administrative Fee'!G7</f>
        <v>23300</v>
      </c>
      <c r="M23" s="14">
        <f>'Administrative Fee'!G8</f>
        <v>24300</v>
      </c>
      <c r="N23" s="14">
        <f>'Administrative Fee'!G9</f>
        <v>6100</v>
      </c>
      <c r="O23" s="14">
        <f>'Administrative Fee'!G10</f>
        <v>4300</v>
      </c>
      <c r="P23" s="14">
        <f>'Administrative Fee'!G11</f>
        <v>3600</v>
      </c>
      <c r="Q23" s="14">
        <f>'Administrative Fee'!G12</f>
        <v>4900</v>
      </c>
      <c r="R23" s="14">
        <f>'Administrative Fee'!G13</f>
        <v>2400</v>
      </c>
      <c r="S23" s="14">
        <f>'Administrative Fee'!G14</f>
        <v>7300</v>
      </c>
      <c r="T23" s="14">
        <f>'Administrative Fee'!G15</f>
        <v>3800</v>
      </c>
      <c r="U23" s="19">
        <f>SUM(L23:T23)</f>
        <v>80000</v>
      </c>
      <c r="V23" s="28">
        <f t="shared" ref="V23:V32" si="11">J23-U23</f>
        <v>0</v>
      </c>
      <c r="W23" s="17">
        <v>80000</v>
      </c>
    </row>
    <row r="24" spans="1:24">
      <c r="A24" s="54" t="s">
        <v>33</v>
      </c>
      <c r="B24" s="126"/>
      <c r="C24" s="61"/>
      <c r="D24" s="61"/>
      <c r="E24" s="65"/>
      <c r="F24" s="13">
        <v>4800</v>
      </c>
      <c r="G24" s="14"/>
      <c r="H24" s="14">
        <v>0</v>
      </c>
      <c r="I24" s="14"/>
      <c r="J24" s="15">
        <f t="shared" si="10"/>
        <v>4800</v>
      </c>
      <c r="K24" s="14"/>
      <c r="L24" s="13">
        <f>+J24</f>
        <v>4800</v>
      </c>
      <c r="M24" s="14"/>
      <c r="N24" s="14"/>
      <c r="O24" s="14"/>
      <c r="P24" s="14"/>
      <c r="Q24" s="14"/>
      <c r="R24" s="14"/>
      <c r="S24" s="14"/>
      <c r="T24" s="14"/>
      <c r="U24" s="19">
        <f t="shared" ref="U24:U47" si="12">SUM(L24:T24)</f>
        <v>4800</v>
      </c>
      <c r="V24" s="28">
        <f t="shared" si="11"/>
        <v>0</v>
      </c>
      <c r="W24" s="17">
        <v>4125</v>
      </c>
    </row>
    <row r="25" spans="1:24">
      <c r="A25" s="54" t="s">
        <v>34</v>
      </c>
      <c r="B25" s="126"/>
      <c r="C25" s="61"/>
      <c r="D25" s="61"/>
      <c r="E25" s="65"/>
      <c r="F25" s="13">
        <v>12000</v>
      </c>
      <c r="G25" s="14"/>
      <c r="H25" s="14">
        <v>0</v>
      </c>
      <c r="I25" s="14"/>
      <c r="J25" s="15">
        <f t="shared" si="10"/>
        <v>12000</v>
      </c>
      <c r="K25" s="14"/>
      <c r="L25" s="13">
        <f t="shared" ref="L25:L39" si="13">+J25</f>
        <v>12000</v>
      </c>
      <c r="M25" s="14"/>
      <c r="N25" s="14"/>
      <c r="O25" s="14"/>
      <c r="P25" s="14"/>
      <c r="Q25" s="14"/>
      <c r="R25" s="14"/>
      <c r="S25" s="14"/>
      <c r="T25" s="14"/>
      <c r="U25" s="19">
        <f t="shared" si="12"/>
        <v>12000</v>
      </c>
      <c r="V25" s="28">
        <f t="shared" si="11"/>
        <v>0</v>
      </c>
      <c r="W25" s="17">
        <v>8500</v>
      </c>
    </row>
    <row r="26" spans="1:24">
      <c r="A26" s="54" t="s">
        <v>35</v>
      </c>
      <c r="B26" s="126"/>
      <c r="C26" s="61"/>
      <c r="D26" s="61"/>
      <c r="E26" s="65"/>
      <c r="F26" s="13">
        <v>6000</v>
      </c>
      <c r="G26" s="14"/>
      <c r="H26" s="14">
        <v>0</v>
      </c>
      <c r="I26" s="14"/>
      <c r="J26" s="15">
        <f t="shared" si="10"/>
        <v>6000</v>
      </c>
      <c r="K26" s="14"/>
      <c r="L26" s="13">
        <f t="shared" si="13"/>
        <v>6000</v>
      </c>
      <c r="M26" s="14"/>
      <c r="N26" s="14"/>
      <c r="O26" s="14"/>
      <c r="P26" s="14"/>
      <c r="Q26" s="14"/>
      <c r="R26" s="14"/>
      <c r="S26" s="14"/>
      <c r="T26" s="14"/>
      <c r="U26" s="19">
        <f t="shared" si="12"/>
        <v>6000</v>
      </c>
      <c r="V26" s="28">
        <f t="shared" si="11"/>
        <v>0</v>
      </c>
      <c r="W26" s="17">
        <v>5400</v>
      </c>
    </row>
    <row r="27" spans="1:24">
      <c r="A27" s="29" t="s">
        <v>36</v>
      </c>
      <c r="B27" s="49"/>
      <c r="C27" s="61"/>
      <c r="D27" s="61"/>
      <c r="E27" s="65"/>
      <c r="F27" s="13">
        <v>1500</v>
      </c>
      <c r="G27" s="14"/>
      <c r="H27" s="14">
        <v>0</v>
      </c>
      <c r="I27" s="14"/>
      <c r="J27" s="15">
        <f t="shared" si="10"/>
        <v>1500</v>
      </c>
      <c r="K27" s="14"/>
      <c r="L27" s="13">
        <f t="shared" si="13"/>
        <v>1500</v>
      </c>
      <c r="M27" s="14"/>
      <c r="N27" s="14"/>
      <c r="O27" s="14"/>
      <c r="P27" s="14"/>
      <c r="Q27" s="14"/>
      <c r="R27" s="14"/>
      <c r="S27" s="14"/>
      <c r="T27" s="14"/>
      <c r="U27" s="19">
        <f t="shared" si="12"/>
        <v>1500</v>
      </c>
      <c r="V27" s="28">
        <f t="shared" si="11"/>
        <v>0</v>
      </c>
      <c r="W27" s="17">
        <v>1181</v>
      </c>
    </row>
    <row r="28" spans="1:24">
      <c r="A28" s="29" t="s">
        <v>37</v>
      </c>
      <c r="B28" s="49"/>
      <c r="C28" s="61"/>
      <c r="D28" s="61"/>
      <c r="E28" s="65"/>
      <c r="F28" s="13">
        <v>2000</v>
      </c>
      <c r="G28" s="14"/>
      <c r="H28" s="14">
        <v>0</v>
      </c>
      <c r="I28" s="14"/>
      <c r="J28" s="15">
        <f t="shared" si="10"/>
        <v>2000</v>
      </c>
      <c r="K28" s="14"/>
      <c r="L28" s="13">
        <f t="shared" si="13"/>
        <v>2000</v>
      </c>
      <c r="M28" s="14"/>
      <c r="N28" s="14"/>
      <c r="O28" s="14"/>
      <c r="P28" s="14"/>
      <c r="Q28" s="14"/>
      <c r="R28" s="14"/>
      <c r="S28" s="14"/>
      <c r="T28" s="14"/>
      <c r="U28" s="19">
        <f t="shared" si="12"/>
        <v>2000</v>
      </c>
      <c r="V28" s="28">
        <f t="shared" si="11"/>
        <v>0</v>
      </c>
      <c r="W28" s="17">
        <v>2000</v>
      </c>
    </row>
    <row r="29" spans="1:24" hidden="1">
      <c r="A29" s="29" t="s">
        <v>38</v>
      </c>
      <c r="B29" s="49"/>
      <c r="C29" s="61"/>
      <c r="D29" s="61"/>
      <c r="E29" s="65"/>
      <c r="F29" s="13">
        <v>0</v>
      </c>
      <c r="G29" s="14"/>
      <c r="H29" s="14">
        <v>0</v>
      </c>
      <c r="I29" s="14"/>
      <c r="J29" s="15">
        <f t="shared" si="10"/>
        <v>0</v>
      </c>
      <c r="K29" s="14"/>
      <c r="L29" s="13">
        <f t="shared" si="13"/>
        <v>0</v>
      </c>
      <c r="M29" s="14"/>
      <c r="N29" s="14"/>
      <c r="O29" s="14"/>
      <c r="P29" s="14"/>
      <c r="Q29" s="14"/>
      <c r="R29" s="14"/>
      <c r="S29" s="14"/>
      <c r="T29" s="14"/>
      <c r="U29" s="19">
        <f t="shared" si="12"/>
        <v>0</v>
      </c>
      <c r="V29" s="28">
        <f t="shared" si="11"/>
        <v>0</v>
      </c>
      <c r="W29" s="17">
        <v>2500</v>
      </c>
    </row>
    <row r="30" spans="1:24">
      <c r="A30" s="29" t="s">
        <v>39</v>
      </c>
      <c r="B30" s="49"/>
      <c r="C30" s="61"/>
      <c r="D30" s="61"/>
      <c r="E30" s="65"/>
      <c r="F30" s="13">
        <v>7000</v>
      </c>
      <c r="G30" s="14"/>
      <c r="H30" s="14">
        <v>0</v>
      </c>
      <c r="I30" s="14"/>
      <c r="J30" s="15">
        <f>+F30+H30</f>
        <v>7000</v>
      </c>
      <c r="K30" s="14"/>
      <c r="L30" s="13">
        <f t="shared" si="13"/>
        <v>7000</v>
      </c>
      <c r="M30" s="14"/>
      <c r="N30" s="14"/>
      <c r="O30" s="14"/>
      <c r="P30" s="14"/>
      <c r="Q30" s="14"/>
      <c r="R30" s="14"/>
      <c r="S30" s="14"/>
      <c r="T30" s="14"/>
      <c r="U30" s="19">
        <f>SUM(L30:T30)</f>
        <v>7000</v>
      </c>
      <c r="V30" s="28">
        <f>J30-U30</f>
        <v>0</v>
      </c>
      <c r="W30" s="17">
        <v>10000</v>
      </c>
    </row>
    <row r="31" spans="1:24">
      <c r="A31" s="29" t="s">
        <v>40</v>
      </c>
      <c r="B31" s="49"/>
      <c r="C31" s="61"/>
      <c r="D31" s="61"/>
      <c r="E31" s="65"/>
      <c r="F31" s="13">
        <v>35000</v>
      </c>
      <c r="G31" s="14"/>
      <c r="H31" s="14">
        <v>0</v>
      </c>
      <c r="I31" s="14"/>
      <c r="J31" s="15">
        <f t="shared" si="10"/>
        <v>35000</v>
      </c>
      <c r="K31" s="14"/>
      <c r="L31" s="13">
        <f t="shared" si="13"/>
        <v>35000</v>
      </c>
      <c r="M31" s="14"/>
      <c r="N31" s="14"/>
      <c r="O31" s="14"/>
      <c r="P31" s="14"/>
      <c r="Q31" s="14"/>
      <c r="R31" s="14"/>
      <c r="S31" s="14"/>
      <c r="T31" s="14"/>
      <c r="U31" s="19">
        <f t="shared" si="12"/>
        <v>35000</v>
      </c>
      <c r="V31" s="28">
        <f t="shared" si="11"/>
        <v>0</v>
      </c>
      <c r="W31" s="17">
        <v>20000</v>
      </c>
    </row>
    <row r="32" spans="1:24" hidden="1">
      <c r="A32" s="29" t="s">
        <v>41</v>
      </c>
      <c r="B32" s="49"/>
      <c r="C32" s="61"/>
      <c r="D32" s="61"/>
      <c r="E32" s="65"/>
      <c r="F32" s="13">
        <v>0</v>
      </c>
      <c r="G32" s="14"/>
      <c r="H32" s="14">
        <v>0</v>
      </c>
      <c r="I32" s="14"/>
      <c r="J32" s="15">
        <f t="shared" si="10"/>
        <v>0</v>
      </c>
      <c r="K32" s="14"/>
      <c r="L32" s="13">
        <f t="shared" si="13"/>
        <v>0</v>
      </c>
      <c r="M32" s="14"/>
      <c r="N32" s="14"/>
      <c r="O32" s="14"/>
      <c r="P32" s="14"/>
      <c r="Q32" s="14"/>
      <c r="R32" s="14"/>
      <c r="S32" s="14">
        <v>0</v>
      </c>
      <c r="T32" s="14"/>
      <c r="U32" s="19">
        <f t="shared" si="12"/>
        <v>0</v>
      </c>
      <c r="V32" s="28">
        <f t="shared" si="11"/>
        <v>0</v>
      </c>
      <c r="W32" s="17"/>
    </row>
    <row r="33" spans="1:24" hidden="1">
      <c r="A33" s="29" t="s">
        <v>42</v>
      </c>
      <c r="B33" s="49"/>
      <c r="C33" s="61"/>
      <c r="D33" s="61"/>
      <c r="E33" s="65"/>
      <c r="F33" s="13">
        <v>0</v>
      </c>
      <c r="G33" s="14"/>
      <c r="H33" s="14">
        <v>0</v>
      </c>
      <c r="I33" s="14"/>
      <c r="J33" s="15">
        <f t="shared" si="10"/>
        <v>0</v>
      </c>
      <c r="K33" s="14"/>
      <c r="L33" s="13">
        <f t="shared" si="13"/>
        <v>0</v>
      </c>
      <c r="M33" s="14"/>
      <c r="N33" s="14"/>
      <c r="O33" s="14"/>
      <c r="P33" s="14"/>
      <c r="Q33" s="14"/>
      <c r="R33" s="14"/>
      <c r="S33" s="14"/>
      <c r="T33" s="14"/>
      <c r="U33" s="19">
        <f t="shared" si="12"/>
        <v>0</v>
      </c>
      <c r="V33" s="28"/>
      <c r="W33" s="17"/>
    </row>
    <row r="34" spans="1:24" hidden="1">
      <c r="A34" s="29" t="s">
        <v>43</v>
      </c>
      <c r="B34" s="49"/>
      <c r="C34" s="61"/>
      <c r="D34" s="61"/>
      <c r="E34" s="65"/>
      <c r="F34" s="13">
        <v>0</v>
      </c>
      <c r="G34" s="14"/>
      <c r="H34" s="14">
        <v>0</v>
      </c>
      <c r="I34" s="14"/>
      <c r="J34" s="15">
        <f t="shared" si="10"/>
        <v>0</v>
      </c>
      <c r="K34" s="14"/>
      <c r="L34" s="13">
        <f t="shared" si="13"/>
        <v>0</v>
      </c>
      <c r="M34" s="14">
        <v>0</v>
      </c>
      <c r="N34" s="14">
        <v>0</v>
      </c>
      <c r="O34" s="14"/>
      <c r="P34" s="14"/>
      <c r="Q34" s="14"/>
      <c r="R34" s="14"/>
      <c r="S34" s="14"/>
      <c r="T34" s="14"/>
      <c r="U34" s="19">
        <f t="shared" si="12"/>
        <v>0</v>
      </c>
      <c r="V34" s="28"/>
      <c r="W34" s="17"/>
    </row>
    <row r="35" spans="1:24">
      <c r="A35" s="29" t="s">
        <v>44</v>
      </c>
      <c r="B35" s="49"/>
      <c r="C35" s="61"/>
      <c r="D35" s="61"/>
      <c r="E35" s="65"/>
      <c r="F35" s="13">
        <v>1200</v>
      </c>
      <c r="G35" s="14"/>
      <c r="H35" s="14">
        <v>0</v>
      </c>
      <c r="I35" s="14"/>
      <c r="J35" s="15">
        <f>+F35+H35</f>
        <v>1200</v>
      </c>
      <c r="K35" s="14"/>
      <c r="L35" s="13">
        <f t="shared" si="13"/>
        <v>1200</v>
      </c>
      <c r="M35" s="14"/>
      <c r="N35" s="14"/>
      <c r="O35" s="14"/>
      <c r="P35" s="14"/>
      <c r="Q35" s="14"/>
      <c r="R35" s="14"/>
      <c r="S35" s="14"/>
      <c r="T35" s="14"/>
      <c r="U35" s="19">
        <f>SUM(L35:T35)</f>
        <v>1200</v>
      </c>
      <c r="V35" s="28">
        <f>J35-U35</f>
        <v>0</v>
      </c>
      <c r="W35" s="17">
        <v>1000</v>
      </c>
    </row>
    <row r="36" spans="1:24">
      <c r="A36" s="29" t="s">
        <v>45</v>
      </c>
      <c r="B36" s="49"/>
      <c r="C36" s="61"/>
      <c r="D36" s="61"/>
      <c r="E36" s="65"/>
      <c r="F36" s="13">
        <v>35000</v>
      </c>
      <c r="G36" s="14">
        <v>0</v>
      </c>
      <c r="H36" s="14">
        <v>0</v>
      </c>
      <c r="I36" s="14"/>
      <c r="J36" s="15">
        <f t="shared" si="10"/>
        <v>35000</v>
      </c>
      <c r="K36" s="14"/>
      <c r="L36" s="13">
        <f t="shared" si="13"/>
        <v>35000</v>
      </c>
      <c r="M36" s="14"/>
      <c r="N36" s="14"/>
      <c r="O36" s="14"/>
      <c r="P36" s="14"/>
      <c r="Q36" s="14"/>
      <c r="R36" s="14"/>
      <c r="S36" s="14"/>
      <c r="T36" s="14"/>
      <c r="U36" s="19">
        <f t="shared" si="12"/>
        <v>35000</v>
      </c>
      <c r="V36" s="28">
        <f>J36-U36</f>
        <v>0</v>
      </c>
      <c r="W36" s="17">
        <v>40000</v>
      </c>
    </row>
    <row r="37" spans="1:24">
      <c r="A37" s="29" t="s">
        <v>46</v>
      </c>
      <c r="B37" s="49"/>
      <c r="C37" s="61"/>
      <c r="D37" s="61"/>
      <c r="E37" s="65"/>
      <c r="F37" s="13">
        <v>100982</v>
      </c>
      <c r="G37" s="14"/>
      <c r="H37" s="14">
        <v>0</v>
      </c>
      <c r="I37" s="14"/>
      <c r="J37" s="15">
        <f t="shared" si="10"/>
        <v>100982</v>
      </c>
      <c r="K37" s="14"/>
      <c r="L37" s="13">
        <v>100982</v>
      </c>
      <c r="M37" s="14"/>
      <c r="N37" s="14"/>
      <c r="O37" s="14"/>
      <c r="P37" s="14"/>
      <c r="Q37" s="14"/>
      <c r="R37" s="14"/>
      <c r="S37" s="14"/>
      <c r="T37" s="14"/>
      <c r="U37" s="19">
        <f t="shared" si="12"/>
        <v>100982</v>
      </c>
      <c r="V37" s="28"/>
      <c r="W37" s="17">
        <v>5000</v>
      </c>
    </row>
    <row r="38" spans="1:24" hidden="1">
      <c r="A38" s="29" t="s">
        <v>47</v>
      </c>
      <c r="B38" s="49"/>
      <c r="C38" s="61"/>
      <c r="D38" s="61"/>
      <c r="E38" s="65"/>
      <c r="F38" s="13">
        <v>0</v>
      </c>
      <c r="G38" s="14"/>
      <c r="H38" s="14">
        <v>0</v>
      </c>
      <c r="I38" s="14"/>
      <c r="J38" s="15">
        <f t="shared" si="10"/>
        <v>0</v>
      </c>
      <c r="K38" s="14"/>
      <c r="L38" s="13">
        <f t="shared" si="13"/>
        <v>0</v>
      </c>
      <c r="M38" s="14"/>
      <c r="N38" s="14"/>
      <c r="O38" s="14"/>
      <c r="P38" s="14"/>
      <c r="Q38" s="14"/>
      <c r="R38" s="14"/>
      <c r="S38" s="14">
        <v>0</v>
      </c>
      <c r="T38" s="14"/>
      <c r="U38" s="19">
        <f t="shared" si="12"/>
        <v>0</v>
      </c>
      <c r="V38" s="28"/>
      <c r="W38" s="17">
        <v>5000</v>
      </c>
    </row>
    <row r="39" spans="1:24">
      <c r="A39" s="29" t="s">
        <v>48</v>
      </c>
      <c r="B39" s="49"/>
      <c r="C39" s="61"/>
      <c r="D39" s="61"/>
      <c r="E39" s="65"/>
      <c r="F39" s="13">
        <v>5000</v>
      </c>
      <c r="G39" s="14"/>
      <c r="H39" s="14">
        <v>0</v>
      </c>
      <c r="I39" s="14"/>
      <c r="J39" s="15">
        <f>+F39+H39</f>
        <v>5000</v>
      </c>
      <c r="K39" s="14"/>
      <c r="L39" s="13">
        <f t="shared" si="13"/>
        <v>5000</v>
      </c>
      <c r="M39" s="14"/>
      <c r="N39" s="14"/>
      <c r="O39" s="14"/>
      <c r="P39" s="14"/>
      <c r="Q39" s="14"/>
      <c r="R39" s="14"/>
      <c r="S39" s="14"/>
      <c r="T39" s="14"/>
      <c r="U39" s="19">
        <f>SUM(L39:T39)</f>
        <v>5000</v>
      </c>
      <c r="V39" s="28">
        <f>J39-U39</f>
        <v>0</v>
      </c>
      <c r="W39" s="17">
        <v>5000</v>
      </c>
    </row>
    <row r="40" spans="1:24" hidden="1">
      <c r="A40" s="29" t="s">
        <v>49</v>
      </c>
      <c r="B40" s="49"/>
      <c r="C40" s="61"/>
      <c r="D40" s="61"/>
      <c r="E40" s="65"/>
      <c r="F40" s="13">
        <v>0</v>
      </c>
      <c r="G40" s="14"/>
      <c r="H40" s="14">
        <v>0</v>
      </c>
      <c r="I40" s="14"/>
      <c r="J40" s="15">
        <f>+F40+H40</f>
        <v>0</v>
      </c>
      <c r="K40" s="14"/>
      <c r="L40" s="13">
        <v>0</v>
      </c>
      <c r="M40" s="14"/>
      <c r="N40" s="14"/>
      <c r="O40" s="14"/>
      <c r="P40" s="14"/>
      <c r="Q40" s="14"/>
      <c r="R40" s="14"/>
      <c r="S40" s="14"/>
      <c r="T40" s="14"/>
      <c r="U40" s="19">
        <f>SUM(L40:T40)</f>
        <v>0</v>
      </c>
      <c r="V40" s="28">
        <f>J40-U40</f>
        <v>0</v>
      </c>
      <c r="W40" s="17">
        <v>15000</v>
      </c>
    </row>
    <row r="41" spans="1:24" hidden="1">
      <c r="A41" s="30" t="s">
        <v>50</v>
      </c>
      <c r="B41" s="50"/>
      <c r="C41" s="62"/>
      <c r="D41" s="61"/>
      <c r="E41" s="65"/>
      <c r="F41" s="13">
        <v>0</v>
      </c>
      <c r="G41" s="14"/>
      <c r="H41" s="14">
        <v>0</v>
      </c>
      <c r="I41" s="14"/>
      <c r="J41" s="15">
        <f>+F41+H41</f>
        <v>0</v>
      </c>
      <c r="K41" s="14"/>
      <c r="L41" s="13">
        <v>0</v>
      </c>
      <c r="M41" s="14"/>
      <c r="N41" s="14"/>
      <c r="O41" s="14"/>
      <c r="P41" s="14"/>
      <c r="Q41" s="14"/>
      <c r="R41" s="14"/>
      <c r="S41" s="14"/>
      <c r="T41" s="14"/>
      <c r="U41" s="15">
        <f>SUM(L41:T41)</f>
        <v>0</v>
      </c>
      <c r="V41" s="28">
        <f>J41-U41</f>
        <v>0</v>
      </c>
      <c r="W41" s="17">
        <v>10000</v>
      </c>
      <c r="X41" s="20"/>
    </row>
    <row r="42" spans="1:24" hidden="1">
      <c r="A42" s="54" t="s">
        <v>51</v>
      </c>
      <c r="B42" s="49"/>
      <c r="C42" s="62"/>
      <c r="D42" s="61"/>
      <c r="E42" s="65"/>
      <c r="F42" s="13">
        <v>0</v>
      </c>
      <c r="G42" s="14"/>
      <c r="H42" s="129">
        <v>0</v>
      </c>
      <c r="I42" s="14"/>
      <c r="J42" s="15">
        <f>+H42+F42</f>
        <v>0</v>
      </c>
      <c r="K42" s="14"/>
      <c r="L42" s="13">
        <f t="shared" ref="L42:L50" si="14">+J42</f>
        <v>0</v>
      </c>
      <c r="M42" s="14"/>
      <c r="N42" s="14"/>
      <c r="O42" s="14"/>
      <c r="P42" s="14"/>
      <c r="Q42" s="14"/>
      <c r="R42" s="14"/>
      <c r="S42" s="14"/>
      <c r="T42" s="14"/>
      <c r="U42" s="15">
        <f t="shared" si="12"/>
        <v>0</v>
      </c>
      <c r="V42" s="28"/>
      <c r="W42" s="17">
        <v>0</v>
      </c>
    </row>
    <row r="43" spans="1:24" hidden="1">
      <c r="A43" s="54" t="s">
        <v>52</v>
      </c>
      <c r="B43" s="49"/>
      <c r="C43" s="62"/>
      <c r="D43" s="61"/>
      <c r="E43" s="65"/>
      <c r="F43" s="13">
        <v>0</v>
      </c>
      <c r="G43" s="14"/>
      <c r="H43" s="129">
        <v>0</v>
      </c>
      <c r="I43" s="14"/>
      <c r="J43" s="15">
        <f>+H43+F43</f>
        <v>0</v>
      </c>
      <c r="K43" s="14"/>
      <c r="L43" s="13">
        <f t="shared" si="14"/>
        <v>0</v>
      </c>
      <c r="M43" s="14"/>
      <c r="N43" s="14"/>
      <c r="O43" s="14"/>
      <c r="P43" s="14"/>
      <c r="Q43" s="14"/>
      <c r="R43" s="14"/>
      <c r="S43" s="14"/>
      <c r="T43" s="14"/>
      <c r="U43" s="15">
        <f t="shared" si="12"/>
        <v>0</v>
      </c>
      <c r="V43" s="28"/>
      <c r="W43" s="17">
        <v>0</v>
      </c>
    </row>
    <row r="44" spans="1:24" hidden="1">
      <c r="A44" s="54" t="s">
        <v>53</v>
      </c>
      <c r="B44" s="49"/>
      <c r="C44" s="62"/>
      <c r="D44" s="61"/>
      <c r="E44" s="65"/>
      <c r="F44" s="13">
        <v>0</v>
      </c>
      <c r="G44" s="14"/>
      <c r="H44" s="129">
        <v>0</v>
      </c>
      <c r="I44" s="14"/>
      <c r="J44" s="15">
        <f t="shared" ref="J44:J46" si="15">+F44+H44</f>
        <v>0</v>
      </c>
      <c r="K44" s="14"/>
      <c r="L44" s="13">
        <f t="shared" si="14"/>
        <v>0</v>
      </c>
      <c r="M44" s="14"/>
      <c r="N44" s="14"/>
      <c r="O44" s="14"/>
      <c r="P44" s="14"/>
      <c r="Q44" s="14"/>
      <c r="R44" s="14"/>
      <c r="S44" s="14"/>
      <c r="T44" s="14"/>
      <c r="U44" s="15">
        <f t="shared" ref="U44:U45" si="16">SUM(L44:T44)</f>
        <v>0</v>
      </c>
      <c r="V44" s="28"/>
      <c r="W44" s="17">
        <v>0</v>
      </c>
    </row>
    <row r="45" spans="1:24">
      <c r="A45" s="54" t="s">
        <v>54</v>
      </c>
      <c r="B45" s="49"/>
      <c r="C45" s="62"/>
      <c r="D45" s="61"/>
      <c r="E45" s="65"/>
      <c r="F45" s="13">
        <v>20000</v>
      </c>
      <c r="G45" s="14"/>
      <c r="H45" s="14">
        <v>0</v>
      </c>
      <c r="I45" s="14"/>
      <c r="J45" s="15">
        <f t="shared" si="15"/>
        <v>20000</v>
      </c>
      <c r="K45" s="14"/>
      <c r="L45" s="13">
        <v>20000</v>
      </c>
      <c r="M45" s="14"/>
      <c r="N45" s="14"/>
      <c r="O45" s="14"/>
      <c r="P45" s="14"/>
      <c r="Q45" s="14"/>
      <c r="R45" s="14"/>
      <c r="S45" s="14"/>
      <c r="T45" s="14"/>
      <c r="U45" s="15">
        <f t="shared" si="16"/>
        <v>20000</v>
      </c>
      <c r="V45" s="28"/>
      <c r="W45" s="17">
        <v>0</v>
      </c>
    </row>
    <row r="46" spans="1:24" hidden="1">
      <c r="A46" s="54" t="s">
        <v>55</v>
      </c>
      <c r="B46" s="49"/>
      <c r="C46" s="62"/>
      <c r="D46" s="61"/>
      <c r="E46" s="65"/>
      <c r="F46" s="13">
        <v>0</v>
      </c>
      <c r="G46" s="14"/>
      <c r="H46" s="14">
        <v>0</v>
      </c>
      <c r="I46" s="14"/>
      <c r="J46" s="15">
        <f t="shared" si="15"/>
        <v>0</v>
      </c>
      <c r="K46" s="14"/>
      <c r="L46" s="13">
        <f t="shared" si="14"/>
        <v>0</v>
      </c>
      <c r="M46" s="14"/>
      <c r="N46" s="14"/>
      <c r="O46" s="14"/>
      <c r="P46" s="14"/>
      <c r="Q46" s="14"/>
      <c r="R46" s="14"/>
      <c r="S46" s="14"/>
      <c r="T46" s="14"/>
      <c r="U46" s="15">
        <f t="shared" si="12"/>
        <v>0</v>
      </c>
      <c r="V46" s="28"/>
      <c r="W46" s="17">
        <v>0</v>
      </c>
    </row>
    <row r="47" spans="1:24" ht="15" hidden="1" customHeight="1">
      <c r="A47" s="29" t="s">
        <v>56</v>
      </c>
      <c r="B47" s="49"/>
      <c r="C47" s="62"/>
      <c r="D47" s="61"/>
      <c r="E47" s="65"/>
      <c r="F47" s="13">
        <v>0</v>
      </c>
      <c r="G47" s="14"/>
      <c r="H47" s="14">
        <v>0</v>
      </c>
      <c r="I47" s="14"/>
      <c r="J47" s="15">
        <f t="shared" ref="J47:J59" si="17">+F47+H47</f>
        <v>0</v>
      </c>
      <c r="K47" s="14"/>
      <c r="L47" s="13">
        <f t="shared" si="14"/>
        <v>0</v>
      </c>
      <c r="M47" s="14"/>
      <c r="N47" s="14"/>
      <c r="O47" s="14"/>
      <c r="P47" s="14"/>
      <c r="Q47" s="14"/>
      <c r="R47" s="14"/>
      <c r="S47" s="14"/>
      <c r="T47" s="14"/>
      <c r="U47" s="15">
        <f t="shared" si="12"/>
        <v>0</v>
      </c>
      <c r="V47" s="28"/>
      <c r="W47" s="17">
        <v>0</v>
      </c>
    </row>
    <row r="48" spans="1:24" hidden="1">
      <c r="A48" s="29"/>
      <c r="B48" s="49"/>
      <c r="C48" s="61"/>
      <c r="D48" s="61"/>
      <c r="E48" s="65"/>
      <c r="F48" s="13">
        <v>0</v>
      </c>
      <c r="G48" s="14"/>
      <c r="H48" s="14"/>
      <c r="I48" s="14"/>
      <c r="J48" s="15">
        <f t="shared" si="17"/>
        <v>0</v>
      </c>
      <c r="K48" s="14"/>
      <c r="L48" s="13">
        <f t="shared" si="14"/>
        <v>0</v>
      </c>
      <c r="M48" s="14"/>
      <c r="N48" s="14"/>
      <c r="O48" s="14"/>
      <c r="P48" s="14"/>
      <c r="Q48" s="14"/>
      <c r="R48" s="14"/>
      <c r="S48" s="14"/>
      <c r="T48" s="14"/>
      <c r="U48" s="19">
        <f t="shared" ref="U48:U53" si="18">SUM(L48:T48)</f>
        <v>0</v>
      </c>
      <c r="V48" s="28">
        <f>J48-U48</f>
        <v>0</v>
      </c>
      <c r="W48" s="17">
        <v>10000</v>
      </c>
      <c r="X48" s="20"/>
    </row>
    <row r="49" spans="1:27" hidden="1">
      <c r="A49" s="29"/>
      <c r="B49" s="49"/>
      <c r="C49" s="61"/>
      <c r="D49" s="61"/>
      <c r="E49" s="65"/>
      <c r="F49" s="13">
        <v>0</v>
      </c>
      <c r="G49" s="14"/>
      <c r="H49" s="14"/>
      <c r="I49" s="14"/>
      <c r="J49" s="15">
        <f t="shared" si="17"/>
        <v>0</v>
      </c>
      <c r="K49" s="14"/>
      <c r="L49" s="13">
        <f t="shared" si="14"/>
        <v>0</v>
      </c>
      <c r="M49" s="14"/>
      <c r="N49" s="14"/>
      <c r="O49" s="14"/>
      <c r="P49" s="14"/>
      <c r="Q49" s="14"/>
      <c r="R49" s="14"/>
      <c r="S49" s="14"/>
      <c r="T49" s="14"/>
      <c r="U49" s="19">
        <f t="shared" si="18"/>
        <v>0</v>
      </c>
      <c r="V49" s="28"/>
      <c r="W49" s="17"/>
      <c r="X49" s="20"/>
    </row>
    <row r="50" spans="1:27" hidden="1">
      <c r="A50" s="72"/>
      <c r="B50" s="49"/>
      <c r="C50" s="61"/>
      <c r="D50" s="61"/>
      <c r="E50" s="65"/>
      <c r="F50" s="13"/>
      <c r="G50" s="14"/>
      <c r="H50" s="14"/>
      <c r="I50" s="14"/>
      <c r="J50" s="15">
        <f t="shared" si="17"/>
        <v>0</v>
      </c>
      <c r="K50" s="14"/>
      <c r="L50" s="13">
        <f t="shared" si="14"/>
        <v>0</v>
      </c>
      <c r="M50" s="14"/>
      <c r="N50" s="14"/>
      <c r="O50" s="14"/>
      <c r="P50" s="14"/>
      <c r="Q50" s="14"/>
      <c r="R50" s="14"/>
      <c r="S50" s="14"/>
      <c r="T50" s="14"/>
      <c r="U50" s="19">
        <f t="shared" si="18"/>
        <v>0</v>
      </c>
      <c r="V50" s="28"/>
      <c r="W50" s="17"/>
      <c r="X50" s="20"/>
    </row>
    <row r="51" spans="1:27" hidden="1">
      <c r="A51" s="29"/>
      <c r="B51" s="49"/>
      <c r="C51" s="61"/>
      <c r="D51" s="61"/>
      <c r="E51" s="65"/>
      <c r="F51" s="13">
        <v>0</v>
      </c>
      <c r="G51" s="14"/>
      <c r="H51" s="14"/>
      <c r="I51" s="14"/>
      <c r="J51" s="15">
        <f t="shared" si="17"/>
        <v>0</v>
      </c>
      <c r="K51" s="14"/>
      <c r="L51" s="13">
        <f>+H51</f>
        <v>0</v>
      </c>
      <c r="M51" s="14"/>
      <c r="N51" s="14"/>
      <c r="O51" s="14"/>
      <c r="P51" s="14"/>
      <c r="Q51" s="14"/>
      <c r="R51" s="14"/>
      <c r="S51" s="14"/>
      <c r="T51" s="14"/>
      <c r="U51" s="19">
        <f t="shared" si="18"/>
        <v>0</v>
      </c>
      <c r="V51" s="28">
        <f t="shared" ref="V51" si="19">J51-U51</f>
        <v>0</v>
      </c>
      <c r="W51" s="17">
        <v>0</v>
      </c>
    </row>
    <row r="52" spans="1:27" hidden="1">
      <c r="A52" s="29"/>
      <c r="B52" s="49"/>
      <c r="C52" s="61"/>
      <c r="D52" s="61"/>
      <c r="E52" s="65"/>
      <c r="F52" s="13"/>
      <c r="G52" s="14"/>
      <c r="H52" s="14"/>
      <c r="I52" s="14"/>
      <c r="J52" s="15">
        <f t="shared" si="17"/>
        <v>0</v>
      </c>
      <c r="K52" s="14"/>
      <c r="L52" s="13">
        <f>+H52</f>
        <v>0</v>
      </c>
      <c r="M52" s="14"/>
      <c r="N52" s="14"/>
      <c r="O52" s="14"/>
      <c r="P52" s="14"/>
      <c r="Q52" s="14"/>
      <c r="R52" s="14"/>
      <c r="S52" s="14"/>
      <c r="T52" s="14"/>
      <c r="U52" s="19">
        <f t="shared" si="18"/>
        <v>0</v>
      </c>
      <c r="V52" s="28"/>
      <c r="W52" s="17"/>
    </row>
    <row r="53" spans="1:27" hidden="1">
      <c r="A53" s="29"/>
      <c r="B53" s="49"/>
      <c r="C53" s="61"/>
      <c r="D53" s="61"/>
      <c r="E53" s="65"/>
      <c r="F53" s="13"/>
      <c r="G53" s="14"/>
      <c r="H53" s="14"/>
      <c r="I53" s="14"/>
      <c r="J53" s="15">
        <f t="shared" si="17"/>
        <v>0</v>
      </c>
      <c r="K53" s="14"/>
      <c r="L53" s="13">
        <f>+H53</f>
        <v>0</v>
      </c>
      <c r="M53" s="14"/>
      <c r="N53" s="14"/>
      <c r="O53" s="14"/>
      <c r="P53" s="14"/>
      <c r="Q53" s="14"/>
      <c r="R53" s="14"/>
      <c r="S53" s="14"/>
      <c r="T53" s="14"/>
      <c r="U53" s="19">
        <f t="shared" si="18"/>
        <v>0</v>
      </c>
      <c r="V53" s="28"/>
      <c r="W53" s="17"/>
    </row>
    <row r="54" spans="1:27" hidden="1">
      <c r="A54" s="29"/>
      <c r="B54" s="49"/>
      <c r="C54" s="61"/>
      <c r="D54" s="61"/>
      <c r="E54" s="65"/>
      <c r="F54" s="13"/>
      <c r="G54" s="14"/>
      <c r="H54" s="14"/>
      <c r="I54" s="14"/>
      <c r="J54" s="15">
        <f t="shared" si="17"/>
        <v>0</v>
      </c>
      <c r="K54" s="14"/>
      <c r="L54" s="13">
        <f t="shared" ref="L54:L59" si="20">+H54</f>
        <v>0</v>
      </c>
      <c r="M54" s="14"/>
      <c r="N54" s="14"/>
      <c r="O54" s="14"/>
      <c r="P54" s="14"/>
      <c r="Q54" s="14"/>
      <c r="R54" s="14"/>
      <c r="S54" s="14"/>
      <c r="T54" s="14"/>
      <c r="U54" s="19">
        <f t="shared" ref="U54:U59" si="21">SUM(L54:T54)</f>
        <v>0</v>
      </c>
      <c r="V54" s="28"/>
      <c r="W54" s="17"/>
    </row>
    <row r="55" spans="1:27" hidden="1">
      <c r="A55" s="29"/>
      <c r="B55" s="49"/>
      <c r="C55" s="61"/>
      <c r="D55" s="61"/>
      <c r="E55" s="65"/>
      <c r="F55" s="13"/>
      <c r="G55" s="14"/>
      <c r="H55" s="14"/>
      <c r="I55" s="14"/>
      <c r="J55" s="15">
        <f t="shared" si="17"/>
        <v>0</v>
      </c>
      <c r="K55" s="14"/>
      <c r="L55" s="13">
        <f t="shared" si="20"/>
        <v>0</v>
      </c>
      <c r="M55" s="14"/>
      <c r="N55" s="14"/>
      <c r="O55" s="14"/>
      <c r="P55" s="14"/>
      <c r="Q55" s="14"/>
      <c r="R55" s="14"/>
      <c r="S55" s="14"/>
      <c r="T55" s="14"/>
      <c r="U55" s="19">
        <f t="shared" si="21"/>
        <v>0</v>
      </c>
      <c r="V55" s="28"/>
      <c r="W55" s="17"/>
    </row>
    <row r="56" spans="1:27" hidden="1">
      <c r="A56" s="29"/>
      <c r="B56" s="49"/>
      <c r="C56" s="61"/>
      <c r="D56" s="61"/>
      <c r="E56" s="65"/>
      <c r="F56" s="13"/>
      <c r="G56" s="14"/>
      <c r="H56" s="14"/>
      <c r="I56" s="14"/>
      <c r="J56" s="15">
        <f t="shared" si="17"/>
        <v>0</v>
      </c>
      <c r="K56" s="14"/>
      <c r="L56" s="13">
        <f t="shared" si="20"/>
        <v>0</v>
      </c>
      <c r="M56" s="14"/>
      <c r="N56" s="14"/>
      <c r="O56" s="14"/>
      <c r="P56" s="14"/>
      <c r="Q56" s="14"/>
      <c r="R56" s="14"/>
      <c r="S56" s="14"/>
      <c r="T56" s="14"/>
      <c r="U56" s="19">
        <f t="shared" si="21"/>
        <v>0</v>
      </c>
      <c r="V56" s="28"/>
      <c r="W56" s="17"/>
    </row>
    <row r="57" spans="1:27" hidden="1">
      <c r="A57" s="54"/>
      <c r="B57" s="49"/>
      <c r="C57" s="61"/>
      <c r="D57" s="61"/>
      <c r="E57" s="65"/>
      <c r="F57" s="13"/>
      <c r="G57" s="14"/>
      <c r="H57" s="14"/>
      <c r="I57" s="14"/>
      <c r="J57" s="15">
        <f t="shared" si="17"/>
        <v>0</v>
      </c>
      <c r="K57" s="14"/>
      <c r="L57" s="13">
        <f t="shared" si="20"/>
        <v>0</v>
      </c>
      <c r="M57" s="14"/>
      <c r="N57" s="14"/>
      <c r="O57" s="14"/>
      <c r="P57" s="14"/>
      <c r="Q57" s="14"/>
      <c r="R57" s="14"/>
      <c r="S57" s="14"/>
      <c r="T57" s="14"/>
      <c r="U57" s="19">
        <f t="shared" si="21"/>
        <v>0</v>
      </c>
      <c r="V57" s="28"/>
      <c r="W57" s="17"/>
    </row>
    <row r="58" spans="1:27" hidden="1">
      <c r="A58" s="54"/>
      <c r="B58" s="49"/>
      <c r="C58" s="61"/>
      <c r="D58" s="61"/>
      <c r="E58" s="65"/>
      <c r="F58" s="13"/>
      <c r="G58" s="14"/>
      <c r="H58" s="14"/>
      <c r="I58" s="14"/>
      <c r="J58" s="15">
        <f t="shared" si="17"/>
        <v>0</v>
      </c>
      <c r="K58" s="14"/>
      <c r="L58" s="13">
        <f t="shared" si="20"/>
        <v>0</v>
      </c>
      <c r="M58" s="14"/>
      <c r="N58" s="14"/>
      <c r="O58" s="14"/>
      <c r="P58" s="14"/>
      <c r="Q58" s="14"/>
      <c r="R58" s="14"/>
      <c r="S58" s="14"/>
      <c r="T58" s="14"/>
      <c r="U58" s="19">
        <f t="shared" si="21"/>
        <v>0</v>
      </c>
      <c r="V58" s="28"/>
      <c r="W58" s="17"/>
    </row>
    <row r="59" spans="1:27" hidden="1">
      <c r="A59" s="54"/>
      <c r="B59" s="49"/>
      <c r="C59" s="61"/>
      <c r="D59" s="61"/>
      <c r="E59" s="65"/>
      <c r="F59" s="13"/>
      <c r="G59" s="14"/>
      <c r="H59" s="14"/>
      <c r="I59" s="14"/>
      <c r="J59" s="15">
        <f t="shared" si="17"/>
        <v>0</v>
      </c>
      <c r="K59" s="14"/>
      <c r="L59" s="13">
        <f t="shared" si="20"/>
        <v>0</v>
      </c>
      <c r="M59" s="14"/>
      <c r="N59" s="14"/>
      <c r="O59" s="14"/>
      <c r="P59" s="14"/>
      <c r="Q59" s="14"/>
      <c r="R59" s="14"/>
      <c r="S59" s="14"/>
      <c r="T59" s="14"/>
      <c r="U59" s="19">
        <f t="shared" si="21"/>
        <v>0</v>
      </c>
      <c r="V59" s="28"/>
      <c r="W59" s="17"/>
    </row>
    <row r="60" spans="1:27">
      <c r="A60" s="42" t="s">
        <v>57</v>
      </c>
      <c r="B60" s="49"/>
      <c r="C60" s="61"/>
      <c r="D60" s="61"/>
      <c r="E60" s="65"/>
      <c r="F60" s="21">
        <f>SUM(F23:F52)</f>
        <v>310482</v>
      </c>
      <c r="G60" s="22"/>
      <c r="H60" s="31">
        <f>SUM(H23:H59)</f>
        <v>0</v>
      </c>
      <c r="I60" s="22"/>
      <c r="J60" s="23">
        <f>SUM(J23:J59)</f>
        <v>310482</v>
      </c>
      <c r="K60" s="22"/>
      <c r="L60" s="21">
        <f>SUM(L23:L59)</f>
        <v>253782</v>
      </c>
      <c r="M60" s="22">
        <f>M23</f>
        <v>24300</v>
      </c>
      <c r="N60" s="22">
        <f t="shared" ref="N60:S60" si="22">N23</f>
        <v>6100</v>
      </c>
      <c r="O60" s="22">
        <f t="shared" si="22"/>
        <v>4300</v>
      </c>
      <c r="P60" s="22">
        <f t="shared" si="22"/>
        <v>3600</v>
      </c>
      <c r="Q60" s="22">
        <f t="shared" si="22"/>
        <v>4900</v>
      </c>
      <c r="R60" s="22">
        <f t="shared" si="22"/>
        <v>2400</v>
      </c>
      <c r="S60" s="22">
        <f t="shared" si="22"/>
        <v>7300</v>
      </c>
      <c r="T60" s="22">
        <f>T23</f>
        <v>3800</v>
      </c>
      <c r="U60" s="23">
        <f>SUM(U23:U59)</f>
        <v>310482</v>
      </c>
      <c r="V60" s="20">
        <f>SUM(V23:V51)</f>
        <v>0</v>
      </c>
      <c r="W60" s="26">
        <f>SUM(W23:W41)</f>
        <v>214706</v>
      </c>
      <c r="X60" s="20"/>
    </row>
    <row r="61" spans="1:27">
      <c r="A61" s="36" t="s">
        <v>58</v>
      </c>
      <c r="B61" s="51"/>
      <c r="C61" s="66"/>
      <c r="D61" s="63"/>
      <c r="E61" s="67"/>
      <c r="F61" s="39">
        <f>+F20-F60</f>
        <v>330587.36499999999</v>
      </c>
      <c r="G61" s="40"/>
      <c r="H61" s="40">
        <f>+H20-H60</f>
        <v>0</v>
      </c>
      <c r="I61" s="40"/>
      <c r="J61" s="27">
        <f>+J20-J60</f>
        <v>330587.36499999999</v>
      </c>
      <c r="K61" s="41"/>
      <c r="L61" s="113">
        <f t="shared" ref="L61:T61" si="23">L20-L60</f>
        <v>4263.7649999999849</v>
      </c>
      <c r="M61" s="114">
        <f t="shared" si="23"/>
        <v>139472.04999999999</v>
      </c>
      <c r="N61" s="114">
        <f t="shared" si="23"/>
        <v>34980.5</v>
      </c>
      <c r="O61" s="114">
        <f t="shared" si="23"/>
        <v>24964.65</v>
      </c>
      <c r="P61" s="114">
        <f t="shared" si="23"/>
        <v>21048.3</v>
      </c>
      <c r="Q61" s="114">
        <f t="shared" si="23"/>
        <v>27964.399999999994</v>
      </c>
      <c r="R61" s="114">
        <f t="shared" si="23"/>
        <v>14032.199999999997</v>
      </c>
      <c r="S61" s="114">
        <f t="shared" si="23"/>
        <v>41996.6</v>
      </c>
      <c r="T61" s="114">
        <f t="shared" si="23"/>
        <v>21864.9</v>
      </c>
      <c r="U61" s="144">
        <f>+U20-U60</f>
        <v>330587.36499999999</v>
      </c>
      <c r="V61" s="22">
        <f>V20-V60</f>
        <v>0</v>
      </c>
      <c r="W61" s="26">
        <f>+W20-W60</f>
        <v>587429</v>
      </c>
      <c r="X61" s="20"/>
      <c r="Y61" s="20">
        <f>+U61-J61</f>
        <v>0</v>
      </c>
      <c r="AA61" s="20"/>
    </row>
    <row r="62" spans="1:27">
      <c r="A62" s="38" t="s">
        <v>59</v>
      </c>
      <c r="B62" s="52"/>
      <c r="C62" s="68"/>
      <c r="D62" s="64"/>
      <c r="E62" s="69"/>
      <c r="F62" s="43">
        <f t="shared" ref="F62:W62" si="24">+F60+F61</f>
        <v>641069.36499999999</v>
      </c>
      <c r="G62" s="44">
        <f t="shared" si="24"/>
        <v>0</v>
      </c>
      <c r="H62" s="44">
        <f t="shared" si="24"/>
        <v>0</v>
      </c>
      <c r="I62" s="44">
        <f t="shared" si="24"/>
        <v>0</v>
      </c>
      <c r="J62" s="45">
        <f t="shared" si="24"/>
        <v>641069.36499999999</v>
      </c>
      <c r="K62" s="46">
        <f t="shared" si="24"/>
        <v>0</v>
      </c>
      <c r="L62" s="43">
        <f t="shared" si="24"/>
        <v>258045.76499999998</v>
      </c>
      <c r="M62" s="44">
        <f t="shared" si="24"/>
        <v>163772.04999999999</v>
      </c>
      <c r="N62" s="44">
        <f t="shared" si="24"/>
        <v>41080.5</v>
      </c>
      <c r="O62" s="44">
        <f t="shared" si="24"/>
        <v>29264.65</v>
      </c>
      <c r="P62" s="44">
        <f t="shared" si="24"/>
        <v>24648.3</v>
      </c>
      <c r="Q62" s="44">
        <f t="shared" si="24"/>
        <v>32864.399999999994</v>
      </c>
      <c r="R62" s="44">
        <f t="shared" si="24"/>
        <v>16432.199999999997</v>
      </c>
      <c r="S62" s="44">
        <f t="shared" si="24"/>
        <v>49296.6</v>
      </c>
      <c r="T62" s="44">
        <f t="shared" si="24"/>
        <v>25664.9</v>
      </c>
      <c r="U62" s="45">
        <f t="shared" si="24"/>
        <v>641069.36499999999</v>
      </c>
      <c r="V62" s="25">
        <f t="shared" si="24"/>
        <v>0</v>
      </c>
      <c r="W62" s="32">
        <f t="shared" si="24"/>
        <v>802135</v>
      </c>
      <c r="X62" s="20"/>
      <c r="Y62" s="20">
        <f>+U62-J62</f>
        <v>0</v>
      </c>
      <c r="AA62" s="20"/>
    </row>
    <row r="63" spans="1:27" hidden="1">
      <c r="F63" s="20">
        <f>SUM(F60:F62)</f>
        <v>1282138.73</v>
      </c>
      <c r="H63" s="20">
        <f t="shared" ref="H63:T63" si="25">SUM(H60:H62)</f>
        <v>0</v>
      </c>
      <c r="I63" s="20">
        <f t="shared" si="25"/>
        <v>0</v>
      </c>
      <c r="J63" s="20">
        <f t="shared" si="25"/>
        <v>1282138.73</v>
      </c>
      <c r="K63" s="20">
        <f t="shared" si="25"/>
        <v>0</v>
      </c>
      <c r="L63" s="20">
        <f t="shared" si="25"/>
        <v>516091.52999999997</v>
      </c>
      <c r="M63" s="20">
        <f t="shared" si="25"/>
        <v>327544.09999999998</v>
      </c>
      <c r="N63" s="20">
        <f t="shared" si="25"/>
        <v>82161</v>
      </c>
      <c r="O63" s="20">
        <f t="shared" si="25"/>
        <v>58529.3</v>
      </c>
      <c r="P63" s="20">
        <f t="shared" si="25"/>
        <v>49296.6</v>
      </c>
      <c r="Q63" s="20">
        <f t="shared" si="25"/>
        <v>65728.799999999988</v>
      </c>
      <c r="R63" s="20">
        <f t="shared" si="25"/>
        <v>32864.399999999994</v>
      </c>
      <c r="S63" s="20">
        <f t="shared" si="25"/>
        <v>98593.2</v>
      </c>
      <c r="T63" s="20">
        <f t="shared" si="25"/>
        <v>51329.8</v>
      </c>
      <c r="U63" s="20">
        <f>SUM(L63:T63)</f>
        <v>1282138.7299999997</v>
      </c>
      <c r="Y63" s="20"/>
    </row>
    <row r="64" spans="1:27" s="34" customFormat="1" hidden="1">
      <c r="A64" s="33"/>
      <c r="B64" s="53"/>
      <c r="F64" s="35"/>
      <c r="L64" s="35"/>
      <c r="S64" s="35"/>
      <c r="U64" s="35">
        <f>SUM(L61:T61)</f>
        <v>330587.36499999993</v>
      </c>
    </row>
    <row r="65" spans="1:24" s="71" customFormat="1" ht="15" customHeight="1">
      <c r="B65" s="136"/>
      <c r="L65" s="118"/>
      <c r="M65" s="118"/>
      <c r="N65" s="118"/>
      <c r="O65" s="118"/>
      <c r="P65" s="118"/>
      <c r="Q65" s="118"/>
      <c r="R65" s="118"/>
      <c r="S65" s="118"/>
      <c r="T65" s="118"/>
      <c r="U65" s="118"/>
    </row>
    <row r="66" spans="1:24" s="71" customFormat="1">
      <c r="A66" s="116"/>
      <c r="B66" s="117"/>
      <c r="H66" s="118"/>
      <c r="J66" s="118"/>
      <c r="L66" s="115"/>
      <c r="M66" s="115"/>
      <c r="N66" s="115"/>
      <c r="O66" s="115"/>
      <c r="P66" s="115"/>
      <c r="Q66" s="115"/>
      <c r="R66" s="115"/>
      <c r="S66" s="115"/>
      <c r="T66" s="115"/>
      <c r="U66" s="115"/>
    </row>
    <row r="67" spans="1:24" s="71" customFormat="1">
      <c r="A67" s="137"/>
      <c r="B67" s="136"/>
      <c r="H67" s="118"/>
    </row>
    <row r="68" spans="1:24" s="119" customFormat="1">
      <c r="A68" s="138"/>
      <c r="B68" s="139"/>
      <c r="D68" s="140"/>
      <c r="E68" s="140"/>
      <c r="G68" s="140"/>
      <c r="I68" s="140"/>
      <c r="K68" s="140"/>
    </row>
    <row r="69" spans="1:24"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</row>
    <row r="70" spans="1:24"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</row>
  </sheetData>
  <mergeCells count="3">
    <mergeCell ref="A1:U1"/>
    <mergeCell ref="A2:U2"/>
    <mergeCell ref="A3:U3"/>
  </mergeCells>
  <printOptions horizontalCentered="1"/>
  <pageMargins left="0.2" right="0.2" top="0.5" bottom="0.2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548EF-4BBC-4FBF-A173-52F0D328E6C5}">
  <sheetPr>
    <tabColor theme="6" tint="0.79998168889431442"/>
  </sheetPr>
  <dimension ref="A1:P68"/>
  <sheetViews>
    <sheetView zoomScaleNormal="100" zoomScaleSheetLayoutView="100" workbookViewId="0">
      <selection activeCell="A41" sqref="A41"/>
    </sheetView>
  </sheetViews>
  <sheetFormatPr defaultColWidth="9.140625" defaultRowHeight="14.25"/>
  <cols>
    <col min="1" max="1" width="48.42578125" customWidth="1"/>
    <col min="2" max="2" width="1.7109375" customWidth="1"/>
    <col min="3" max="3" width="10.5703125" bestFit="1" customWidth="1"/>
    <col min="4" max="4" width="1.7109375" customWidth="1"/>
    <col min="5" max="5" width="12.140625" customWidth="1"/>
    <col min="6" max="6" width="1.7109375" customWidth="1"/>
    <col min="7" max="7" width="11.7109375" bestFit="1" customWidth="1"/>
    <col min="8" max="8" width="1.7109375" customWidth="1"/>
    <col min="9" max="9" width="15.28515625" customWidth="1"/>
    <col min="10" max="10" width="13.140625" customWidth="1"/>
    <col min="11" max="11" width="1.7109375" customWidth="1"/>
    <col min="12" max="12" width="10.42578125" style="163" customWidth="1"/>
  </cols>
  <sheetData>
    <row r="1" spans="1:16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6">
      <c r="A2" s="185" t="s">
        <v>60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6">
      <c r="A3" s="185" t="s">
        <v>61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6" ht="15" customHeight="1">
      <c r="A4" s="185" t="str">
        <f>'Allocation '!A3:U3</f>
        <v>As of August 31, 2023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50"/>
    </row>
    <row r="6" spans="1:16" ht="28.9" thickBot="1">
      <c r="A6" s="151" t="s">
        <v>3</v>
      </c>
      <c r="B6" s="2"/>
      <c r="C6" s="10" t="s">
        <v>7</v>
      </c>
      <c r="D6" s="11"/>
      <c r="E6" s="10" t="s">
        <v>8</v>
      </c>
      <c r="F6" s="11"/>
      <c r="G6" s="10" t="s">
        <v>9</v>
      </c>
      <c r="H6" s="11"/>
      <c r="I6" s="152" t="s">
        <v>62</v>
      </c>
      <c r="J6" s="152" t="s">
        <v>63</v>
      </c>
      <c r="K6" s="153"/>
      <c r="L6" s="154" t="s">
        <v>64</v>
      </c>
    </row>
    <row r="7" spans="1:16">
      <c r="A7" t="s">
        <v>65</v>
      </c>
      <c r="C7" s="14">
        <f>'Allocation '!L7</f>
        <v>19290.75</v>
      </c>
      <c r="D7" s="155"/>
      <c r="E7" s="156"/>
      <c r="F7" s="155"/>
      <c r="G7" s="129">
        <f>+C7+E7</f>
        <v>19290.75</v>
      </c>
      <c r="H7" s="155"/>
      <c r="I7" s="155"/>
      <c r="J7" s="129">
        <v>0</v>
      </c>
      <c r="K7" s="157"/>
      <c r="L7" s="28">
        <f>G7-I7-J7</f>
        <v>19290.75</v>
      </c>
      <c r="M7" s="158"/>
    </row>
    <row r="8" spans="1:16">
      <c r="A8" t="s">
        <v>22</v>
      </c>
      <c r="C8" s="155">
        <f>'Allocation '!L12</f>
        <v>74303.642499999987</v>
      </c>
      <c r="D8" s="155"/>
      <c r="E8" s="156"/>
      <c r="F8" s="155"/>
      <c r="G8" s="129">
        <f t="shared" ref="G8:G10" si="0">+C8+E8</f>
        <v>74303.642499999987</v>
      </c>
      <c r="H8" s="155"/>
      <c r="I8" s="155"/>
      <c r="J8" s="129">
        <v>0</v>
      </c>
      <c r="K8" s="157"/>
      <c r="L8" s="28">
        <f>G8-I8-J8</f>
        <v>74303.642499999987</v>
      </c>
    </row>
    <row r="9" spans="1:16">
      <c r="A9" t="s">
        <v>25</v>
      </c>
      <c r="C9" s="156">
        <f>'Allocation '!L16</f>
        <v>63469.372499999998</v>
      </c>
      <c r="D9" s="155"/>
      <c r="E9" s="156"/>
      <c r="F9" s="155"/>
      <c r="G9" s="129">
        <f t="shared" si="0"/>
        <v>63469.372499999998</v>
      </c>
      <c r="H9" s="155"/>
      <c r="I9" s="155"/>
      <c r="J9" s="129">
        <v>0</v>
      </c>
      <c r="K9" s="157"/>
      <c r="L9" s="28">
        <f>G9-I9-J9</f>
        <v>63469.372499999998</v>
      </c>
    </row>
    <row r="10" spans="1:16">
      <c r="A10" t="s">
        <v>66</v>
      </c>
      <c r="C10" s="14">
        <v>100982</v>
      </c>
      <c r="D10" s="155"/>
      <c r="E10" s="156"/>
      <c r="F10" s="155"/>
      <c r="G10" s="129">
        <f t="shared" si="0"/>
        <v>100982</v>
      </c>
      <c r="H10" s="155"/>
      <c r="I10" s="155"/>
      <c r="J10" s="129"/>
      <c r="K10" s="157"/>
      <c r="L10" s="28"/>
      <c r="N10" s="20"/>
    </row>
    <row r="11" spans="1:16">
      <c r="A11" s="37" t="s">
        <v>30</v>
      </c>
      <c r="C11" s="159">
        <f>SUM(C7:C10)</f>
        <v>258045.76499999998</v>
      </c>
      <c r="D11" s="155"/>
      <c r="E11" s="159">
        <f>SUM(E7:E10)</f>
        <v>0</v>
      </c>
      <c r="F11" s="159">
        <f>SUM(F7:F9)</f>
        <v>0</v>
      </c>
      <c r="G11" s="159">
        <f>SUM(G7:G10)</f>
        <v>258045.76499999998</v>
      </c>
      <c r="H11" s="155"/>
      <c r="I11" s="159">
        <f>SUM(I7:I9)</f>
        <v>0</v>
      </c>
      <c r="J11" s="159">
        <f>SUM(J7:J9)</f>
        <v>0</v>
      </c>
      <c r="K11" s="157"/>
      <c r="L11" s="159">
        <f>SUM(L7:L9)</f>
        <v>157063.76499999998</v>
      </c>
    </row>
    <row r="12" spans="1:16">
      <c r="C12" s="156">
        <v>0</v>
      </c>
      <c r="D12" s="155"/>
      <c r="E12" s="156"/>
      <c r="F12" s="155"/>
      <c r="G12" s="129"/>
      <c r="H12" s="155"/>
      <c r="I12" s="155"/>
      <c r="J12" s="129"/>
      <c r="K12" s="157"/>
      <c r="L12" s="28"/>
    </row>
    <row r="13" spans="1:16">
      <c r="A13" s="54" t="s">
        <v>32</v>
      </c>
      <c r="C13" s="156">
        <v>23300</v>
      </c>
      <c r="D13" s="155"/>
      <c r="E13" s="156">
        <v>0</v>
      </c>
      <c r="F13" s="155"/>
      <c r="G13" s="129">
        <f t="shared" ref="G13:G24" si="1">C13+E13</f>
        <v>23300</v>
      </c>
      <c r="H13" s="155"/>
      <c r="I13" s="20"/>
      <c r="J13" s="129">
        <v>0</v>
      </c>
      <c r="K13" s="157"/>
      <c r="L13" s="28">
        <f t="shared" ref="L13:L35" si="2">G13-I13-J13</f>
        <v>23300</v>
      </c>
      <c r="P13" s="20"/>
    </row>
    <row r="14" spans="1:16">
      <c r="A14" s="54" t="s">
        <v>33</v>
      </c>
      <c r="C14" s="156">
        <v>4800</v>
      </c>
      <c r="D14" s="155"/>
      <c r="E14" s="156">
        <v>0</v>
      </c>
      <c r="F14" s="155"/>
      <c r="G14" s="129">
        <f t="shared" si="1"/>
        <v>4800</v>
      </c>
      <c r="H14" s="155"/>
      <c r="I14" s="155"/>
      <c r="J14" s="129">
        <v>0</v>
      </c>
      <c r="K14" s="157"/>
      <c r="L14" s="28">
        <f t="shared" si="2"/>
        <v>4800</v>
      </c>
    </row>
    <row r="15" spans="1:16">
      <c r="A15" s="54" t="s">
        <v>34</v>
      </c>
      <c r="C15" s="156">
        <v>12000</v>
      </c>
      <c r="D15" s="155"/>
      <c r="E15" s="156">
        <v>0</v>
      </c>
      <c r="F15" s="155"/>
      <c r="G15" s="129">
        <f t="shared" si="1"/>
        <v>12000</v>
      </c>
      <c r="H15" s="155"/>
      <c r="I15" s="155"/>
      <c r="J15" s="129">
        <v>0</v>
      </c>
      <c r="K15" s="157"/>
      <c r="L15" s="28">
        <f t="shared" si="2"/>
        <v>12000</v>
      </c>
    </row>
    <row r="16" spans="1:16" ht="15" customHeight="1">
      <c r="A16" s="54" t="s">
        <v>35</v>
      </c>
      <c r="C16" s="156">
        <v>6000</v>
      </c>
      <c r="D16" s="155"/>
      <c r="E16" s="156">
        <v>0</v>
      </c>
      <c r="F16" s="155"/>
      <c r="G16" s="129">
        <f t="shared" si="1"/>
        <v>6000</v>
      </c>
      <c r="H16" s="155"/>
      <c r="I16" s="155"/>
      <c r="J16" s="129">
        <v>0</v>
      </c>
      <c r="K16" s="157"/>
      <c r="L16" s="28">
        <f t="shared" si="2"/>
        <v>6000</v>
      </c>
    </row>
    <row r="17" spans="1:14" ht="15" customHeight="1">
      <c r="A17" s="29" t="s">
        <v>36</v>
      </c>
      <c r="C17" s="156">
        <v>1500</v>
      </c>
      <c r="D17" s="155"/>
      <c r="E17" s="156">
        <v>0</v>
      </c>
      <c r="F17" s="155"/>
      <c r="G17" s="129">
        <f t="shared" si="1"/>
        <v>1500</v>
      </c>
      <c r="H17" s="155"/>
      <c r="I17" s="155"/>
      <c r="J17" s="129">
        <v>1462.21</v>
      </c>
      <c r="K17" s="157"/>
      <c r="L17" s="28">
        <f t="shared" si="2"/>
        <v>37.789999999999964</v>
      </c>
      <c r="N17" s="20"/>
    </row>
    <row r="18" spans="1:14" ht="15" customHeight="1">
      <c r="A18" s="29" t="s">
        <v>37</v>
      </c>
      <c r="C18" s="156">
        <v>2000</v>
      </c>
      <c r="D18" s="155"/>
      <c r="E18" s="156">
        <v>0</v>
      </c>
      <c r="F18" s="155"/>
      <c r="G18" s="129">
        <f t="shared" si="1"/>
        <v>2000</v>
      </c>
      <c r="H18" s="155"/>
      <c r="I18" s="155">
        <v>1847</v>
      </c>
      <c r="J18" s="129">
        <v>0</v>
      </c>
      <c r="K18" s="157"/>
      <c r="L18" s="28">
        <f t="shared" si="2"/>
        <v>153</v>
      </c>
    </row>
    <row r="19" spans="1:14" ht="15" hidden="1" customHeight="1">
      <c r="A19" s="29" t="s">
        <v>38</v>
      </c>
      <c r="C19" s="156">
        <v>0</v>
      </c>
      <c r="D19" s="155"/>
      <c r="E19" s="156">
        <v>0</v>
      </c>
      <c r="F19" s="155"/>
      <c r="G19" s="129">
        <f t="shared" si="1"/>
        <v>0</v>
      </c>
      <c r="H19" s="155"/>
      <c r="I19" s="155"/>
      <c r="J19" s="129">
        <v>0</v>
      </c>
      <c r="K19" s="157"/>
      <c r="L19" s="28">
        <f t="shared" si="2"/>
        <v>0</v>
      </c>
    </row>
    <row r="20" spans="1:14" ht="15" customHeight="1">
      <c r="A20" s="29" t="s">
        <v>39</v>
      </c>
      <c r="C20" s="156">
        <v>7000</v>
      </c>
      <c r="D20" s="155"/>
      <c r="E20" s="156">
        <v>0</v>
      </c>
      <c r="F20" s="155"/>
      <c r="G20" s="129">
        <f t="shared" si="1"/>
        <v>7000</v>
      </c>
      <c r="H20" s="155"/>
      <c r="I20" s="155"/>
      <c r="J20" s="129">
        <v>0</v>
      </c>
      <c r="K20" s="157"/>
      <c r="L20" s="28">
        <f t="shared" si="2"/>
        <v>7000</v>
      </c>
    </row>
    <row r="21" spans="1:14" ht="15" customHeight="1">
      <c r="A21" s="29" t="s">
        <v>40</v>
      </c>
      <c r="C21" s="156">
        <v>35000</v>
      </c>
      <c r="D21" s="157"/>
      <c r="E21" s="156">
        <v>0</v>
      </c>
      <c r="F21" s="157"/>
      <c r="G21" s="129">
        <f t="shared" si="1"/>
        <v>35000</v>
      </c>
      <c r="H21" s="157"/>
      <c r="I21" s="157">
        <v>29800</v>
      </c>
      <c r="J21" s="129">
        <v>2680</v>
      </c>
      <c r="K21" s="157"/>
      <c r="L21" s="28">
        <f t="shared" si="2"/>
        <v>2520</v>
      </c>
    </row>
    <row r="22" spans="1:14" ht="15" hidden="1" customHeight="1">
      <c r="A22" s="29" t="s">
        <v>41</v>
      </c>
      <c r="C22" s="156">
        <v>0</v>
      </c>
      <c r="D22" s="155"/>
      <c r="E22" s="156">
        <v>0</v>
      </c>
      <c r="F22" s="155"/>
      <c r="G22" s="129">
        <f t="shared" si="1"/>
        <v>0</v>
      </c>
      <c r="H22" s="155"/>
      <c r="I22" s="157"/>
      <c r="J22" s="129">
        <v>0</v>
      </c>
      <c r="K22" s="157"/>
      <c r="L22" s="28">
        <f t="shared" si="2"/>
        <v>0</v>
      </c>
    </row>
    <row r="23" spans="1:14" ht="15" hidden="1" customHeight="1">
      <c r="A23" s="29" t="s">
        <v>42</v>
      </c>
      <c r="C23" s="156">
        <v>0</v>
      </c>
      <c r="D23" s="155"/>
      <c r="E23" s="156">
        <v>0</v>
      </c>
      <c r="F23" s="155"/>
      <c r="G23" s="129">
        <f t="shared" si="1"/>
        <v>0</v>
      </c>
      <c r="H23" s="155"/>
      <c r="I23" s="157"/>
      <c r="J23" s="129">
        <v>0</v>
      </c>
      <c r="K23" s="157"/>
      <c r="L23" s="28">
        <f t="shared" si="2"/>
        <v>0</v>
      </c>
    </row>
    <row r="24" spans="1:14" ht="15" hidden="1" customHeight="1">
      <c r="A24" s="29" t="s">
        <v>43</v>
      </c>
      <c r="C24" s="156">
        <v>0</v>
      </c>
      <c r="D24" s="155"/>
      <c r="E24" s="156">
        <v>0</v>
      </c>
      <c r="F24" s="155"/>
      <c r="G24" s="129">
        <f t="shared" si="1"/>
        <v>0</v>
      </c>
      <c r="H24" s="155"/>
      <c r="I24" s="157"/>
      <c r="J24" s="129">
        <v>0</v>
      </c>
      <c r="K24" s="157"/>
      <c r="L24" s="28">
        <f t="shared" si="2"/>
        <v>0</v>
      </c>
    </row>
    <row r="25" spans="1:14" ht="15" customHeight="1">
      <c r="A25" s="29" t="s">
        <v>44</v>
      </c>
      <c r="C25" s="156">
        <v>1200</v>
      </c>
      <c r="D25" s="155"/>
      <c r="E25" s="156">
        <v>0</v>
      </c>
      <c r="F25" s="155"/>
      <c r="G25" s="129">
        <f t="shared" ref="G25:G35" si="3">+C25+E25</f>
        <v>1200</v>
      </c>
      <c r="H25" s="155"/>
      <c r="I25" s="157"/>
      <c r="J25" s="129">
        <v>0</v>
      </c>
      <c r="K25" s="157"/>
      <c r="L25" s="28">
        <f t="shared" si="2"/>
        <v>1200</v>
      </c>
    </row>
    <row r="26" spans="1:14" ht="15" customHeight="1">
      <c r="A26" s="29" t="s">
        <v>45</v>
      </c>
      <c r="C26" s="156">
        <v>35000</v>
      </c>
      <c r="D26" s="155"/>
      <c r="E26" s="156">
        <v>0</v>
      </c>
      <c r="F26" s="155"/>
      <c r="G26" s="129">
        <f t="shared" si="3"/>
        <v>35000</v>
      </c>
      <c r="H26" s="155"/>
      <c r="I26" s="157"/>
      <c r="J26" s="129">
        <v>0</v>
      </c>
      <c r="K26" s="157"/>
      <c r="L26" s="28">
        <f t="shared" si="2"/>
        <v>35000</v>
      </c>
    </row>
    <row r="27" spans="1:14" ht="15" customHeight="1">
      <c r="A27" s="30" t="s">
        <v>46</v>
      </c>
      <c r="C27" s="156">
        <v>100982</v>
      </c>
      <c r="D27" s="155"/>
      <c r="E27" s="156">
        <v>0</v>
      </c>
      <c r="F27" s="155"/>
      <c r="G27" s="129">
        <f t="shared" si="3"/>
        <v>100982</v>
      </c>
      <c r="H27" s="155"/>
      <c r="I27" s="157">
        <v>7540.86</v>
      </c>
      <c r="J27" s="129">
        <v>5040.8599999999997</v>
      </c>
      <c r="K27" s="157"/>
      <c r="L27" s="28">
        <f t="shared" si="2"/>
        <v>88400.28</v>
      </c>
    </row>
    <row r="28" spans="1:14" ht="15" hidden="1" customHeight="1">
      <c r="A28" s="30" t="s">
        <v>47</v>
      </c>
      <c r="C28" s="156">
        <v>0</v>
      </c>
      <c r="D28" s="155"/>
      <c r="E28" s="156">
        <v>0</v>
      </c>
      <c r="F28" s="155"/>
      <c r="G28" s="129">
        <f>+C28+E28</f>
        <v>0</v>
      </c>
      <c r="H28" s="155"/>
      <c r="I28" s="157"/>
      <c r="J28" s="129">
        <v>0</v>
      </c>
      <c r="K28" s="157"/>
      <c r="L28" s="28">
        <f t="shared" si="2"/>
        <v>0</v>
      </c>
    </row>
    <row r="29" spans="1:14" ht="15" customHeight="1">
      <c r="A29" s="30" t="s">
        <v>48</v>
      </c>
      <c r="C29" s="156">
        <v>5000</v>
      </c>
      <c r="D29" s="155"/>
      <c r="E29" s="156">
        <v>0</v>
      </c>
      <c r="F29" s="155"/>
      <c r="G29" s="129">
        <f>+C29+E29</f>
        <v>5000</v>
      </c>
      <c r="H29" s="155"/>
      <c r="I29" s="157"/>
      <c r="J29" s="129">
        <v>0</v>
      </c>
      <c r="K29" s="157"/>
      <c r="L29" s="28">
        <f t="shared" si="2"/>
        <v>5000</v>
      </c>
    </row>
    <row r="30" spans="1:14" ht="15" hidden="1" customHeight="1">
      <c r="A30" s="30" t="s">
        <v>49</v>
      </c>
      <c r="C30" s="156">
        <v>0</v>
      </c>
      <c r="D30" s="155"/>
      <c r="E30" s="156">
        <v>0</v>
      </c>
      <c r="F30" s="155"/>
      <c r="G30" s="129">
        <f>+C30+E30</f>
        <v>0</v>
      </c>
      <c r="H30" s="155"/>
      <c r="I30" s="157"/>
      <c r="J30" s="129">
        <v>0</v>
      </c>
      <c r="K30" s="157"/>
      <c r="L30" s="28">
        <f t="shared" si="2"/>
        <v>0</v>
      </c>
    </row>
    <row r="31" spans="1:14" ht="15" hidden="1" customHeight="1">
      <c r="A31" s="54" t="s">
        <v>50</v>
      </c>
      <c r="C31" s="156">
        <v>0</v>
      </c>
      <c r="D31" s="155"/>
      <c r="E31" s="156">
        <v>0</v>
      </c>
      <c r="F31" s="155"/>
      <c r="G31" s="129">
        <f t="shared" ref="G31:G32" si="4">+C31+E31</f>
        <v>0</v>
      </c>
      <c r="H31" s="155"/>
      <c r="I31" s="157"/>
      <c r="J31" s="129">
        <v>0</v>
      </c>
      <c r="K31" s="157"/>
      <c r="L31" s="28">
        <f t="shared" si="2"/>
        <v>0</v>
      </c>
    </row>
    <row r="32" spans="1:14" ht="15" hidden="1" customHeight="1">
      <c r="A32" s="54" t="s">
        <v>51</v>
      </c>
      <c r="C32" s="156">
        <v>0</v>
      </c>
      <c r="D32" s="155"/>
      <c r="E32" s="156">
        <v>0</v>
      </c>
      <c r="F32" s="155"/>
      <c r="G32" s="129">
        <f t="shared" si="4"/>
        <v>0</v>
      </c>
      <c r="H32" s="155"/>
      <c r="I32" s="157"/>
      <c r="J32" s="129">
        <v>0</v>
      </c>
      <c r="K32" s="157"/>
      <c r="L32" s="28">
        <f t="shared" si="2"/>
        <v>0</v>
      </c>
    </row>
    <row r="33" spans="1:16" ht="15" hidden="1" customHeight="1">
      <c r="A33" s="54" t="s">
        <v>52</v>
      </c>
      <c r="C33" s="156">
        <v>0</v>
      </c>
      <c r="D33" s="155"/>
      <c r="E33" s="156">
        <v>0</v>
      </c>
      <c r="F33" s="155"/>
      <c r="G33" s="129">
        <f t="shared" si="3"/>
        <v>0</v>
      </c>
      <c r="H33" s="155"/>
      <c r="I33" s="157"/>
      <c r="J33" s="129">
        <v>0</v>
      </c>
      <c r="K33" s="157"/>
      <c r="L33" s="28">
        <f t="shared" si="2"/>
        <v>0</v>
      </c>
    </row>
    <row r="34" spans="1:16" ht="15" hidden="1" customHeight="1">
      <c r="A34" s="54" t="s">
        <v>53</v>
      </c>
      <c r="C34" s="156">
        <v>0</v>
      </c>
      <c r="D34" s="155"/>
      <c r="E34" s="156">
        <v>0</v>
      </c>
      <c r="F34" s="155"/>
      <c r="G34" s="129">
        <f t="shared" si="3"/>
        <v>0</v>
      </c>
      <c r="H34" s="155"/>
      <c r="I34" s="157"/>
      <c r="J34" s="129">
        <v>0</v>
      </c>
      <c r="K34" s="157"/>
      <c r="L34" s="28">
        <f t="shared" si="2"/>
        <v>0</v>
      </c>
    </row>
    <row r="35" spans="1:16" ht="15" customHeight="1">
      <c r="A35" s="54" t="s">
        <v>54</v>
      </c>
      <c r="C35" s="156">
        <v>20000</v>
      </c>
      <c r="D35" s="155"/>
      <c r="E35" s="14">
        <v>0</v>
      </c>
      <c r="F35" s="155"/>
      <c r="G35" s="129">
        <f t="shared" si="3"/>
        <v>20000</v>
      </c>
      <c r="H35" s="155"/>
      <c r="I35" s="155"/>
      <c r="J35" s="129">
        <v>0</v>
      </c>
      <c r="K35" s="157"/>
      <c r="L35" s="28">
        <f t="shared" si="2"/>
        <v>20000</v>
      </c>
    </row>
    <row r="36" spans="1:16" ht="15" customHeight="1">
      <c r="A36" s="160" t="s">
        <v>67</v>
      </c>
      <c r="C36" s="161">
        <f>SUM(C13:C35)</f>
        <v>253782</v>
      </c>
      <c r="D36" s="155"/>
      <c r="E36" s="161">
        <f>SUM(E13:E35)</f>
        <v>0</v>
      </c>
      <c r="F36" s="155"/>
      <c r="G36" s="161">
        <f>SUM(G13:G35)</f>
        <v>253782</v>
      </c>
      <c r="H36" s="155"/>
      <c r="I36" s="161">
        <f>SUM(I13:I35)</f>
        <v>39187.86</v>
      </c>
      <c r="J36" s="161">
        <f>SUM(J13:J35)</f>
        <v>9183.07</v>
      </c>
      <c r="K36" s="155"/>
      <c r="L36" s="161">
        <f>SUM(L13:L35)</f>
        <v>205411.07</v>
      </c>
      <c r="M36" s="20"/>
      <c r="P36" s="36"/>
    </row>
    <row r="37" spans="1:16">
      <c r="A37" s="160" t="s">
        <v>68</v>
      </c>
      <c r="C37" s="161">
        <f>C11-C36</f>
        <v>4263.7649999999849</v>
      </c>
      <c r="D37" s="155"/>
      <c r="E37" s="155"/>
      <c r="F37" s="155"/>
      <c r="G37" s="161">
        <f>G11-G36</f>
        <v>4263.7649999999849</v>
      </c>
      <c r="H37" s="155"/>
      <c r="I37" s="155"/>
      <c r="J37" s="157"/>
      <c r="K37" s="155"/>
      <c r="L37" s="162"/>
      <c r="M37" s="20"/>
    </row>
    <row r="38" spans="1:16" ht="15" customHeight="1">
      <c r="J38" s="20"/>
    </row>
    <row r="39" spans="1:16" ht="15" customHeight="1">
      <c r="J39" s="20"/>
    </row>
    <row r="40" spans="1:16" ht="15" customHeight="1">
      <c r="J40" s="20"/>
    </row>
    <row r="41" spans="1:16" ht="15" customHeight="1"/>
    <row r="42" spans="1:16" ht="15" customHeight="1"/>
    <row r="43" spans="1:16" ht="15" hidden="1" customHeight="1"/>
    <row r="44" spans="1:16" ht="15" hidden="1" customHeight="1"/>
    <row r="45" spans="1:16" ht="15" hidden="1" customHeight="1"/>
    <row r="46" spans="1:16" ht="15" hidden="1" customHeight="1"/>
    <row r="47" spans="1:16">
      <c r="L47" s="131"/>
    </row>
    <row r="48" spans="1:16">
      <c r="L48" s="131"/>
    </row>
    <row r="49" spans="12:12">
      <c r="L49" s="131"/>
    </row>
    <row r="50" spans="12:12">
      <c r="L50" s="131"/>
    </row>
    <row r="51" spans="12:12">
      <c r="L51" s="131"/>
    </row>
    <row r="52" spans="12:12">
      <c r="L52" s="131"/>
    </row>
    <row r="53" spans="12:12">
      <c r="L53" s="131"/>
    </row>
    <row r="54" spans="12:12">
      <c r="L54" s="131"/>
    </row>
    <row r="55" spans="12:12">
      <c r="L55" s="131"/>
    </row>
    <row r="56" spans="12:12">
      <c r="L56" s="131"/>
    </row>
    <row r="57" spans="12:12">
      <c r="L57" s="131"/>
    </row>
    <row r="58" spans="12:12">
      <c r="L58" s="131"/>
    </row>
    <row r="59" spans="12:12">
      <c r="L59" s="131"/>
    </row>
    <row r="60" spans="12:12">
      <c r="L60" s="131"/>
    </row>
    <row r="61" spans="12:12">
      <c r="L61" s="131"/>
    </row>
    <row r="62" spans="12:12">
      <c r="L62" s="131"/>
    </row>
    <row r="63" spans="12:12">
      <c r="L63" s="131"/>
    </row>
    <row r="64" spans="12:12">
      <c r="L64" s="131"/>
    </row>
    <row r="65" spans="12:12">
      <c r="L65" s="131"/>
    </row>
    <row r="66" spans="12:12">
      <c r="L66" s="131"/>
    </row>
    <row r="67" spans="12:12">
      <c r="L67" s="131"/>
    </row>
    <row r="68" spans="12:12">
      <c r="L68" s="131"/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BEA7-DF8C-4868-94FD-3DBDAB94B947}">
  <sheetPr>
    <tabColor theme="6" tint="0.79998168889431442"/>
  </sheetPr>
  <dimension ref="A1:X56"/>
  <sheetViews>
    <sheetView zoomScaleNormal="100" workbookViewId="0">
      <selection activeCell="J61" sqref="J61"/>
    </sheetView>
  </sheetViews>
  <sheetFormatPr defaultColWidth="9.140625" defaultRowHeight="14.25"/>
  <cols>
    <col min="1" max="1" width="32.5703125" bestFit="1" customWidth="1"/>
    <col min="2" max="2" width="1.7109375" customWidth="1"/>
    <col min="3" max="3" width="10.5703125" bestFit="1" customWidth="1"/>
    <col min="4" max="4" width="1.7109375" customWidth="1"/>
    <col min="5" max="5" width="11.5703125" customWidth="1"/>
    <col min="6" max="6" width="12.42578125" hidden="1" customWidth="1"/>
    <col min="7" max="7" width="1.7109375" customWidth="1"/>
    <col min="8" max="8" width="11.7109375" bestFit="1" customWidth="1"/>
    <col min="9" max="9" width="1.7109375" customWidth="1"/>
    <col min="10" max="11" width="14" customWidth="1"/>
    <col min="12" max="12" width="1.7109375" customWidth="1"/>
    <col min="13" max="13" width="10.140625" customWidth="1"/>
    <col min="15" max="15" width="12.85546875" customWidth="1"/>
  </cols>
  <sheetData>
    <row r="1" spans="1:15" ht="14.45" customHeight="1">
      <c r="A1" s="185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5" ht="14.45" customHeight="1">
      <c r="A2" s="185" t="s">
        <v>69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5" ht="14.45" customHeight="1">
      <c r="A3" s="185" t="s">
        <v>61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5" ht="15" customHeight="1">
      <c r="A4" s="185" t="str">
        <f>'Allocation '!A3:U3</f>
        <v>As of August 31, 2023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5" ht="14.4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67.150000000000006" customHeight="1" thickBot="1">
      <c r="A6" s="164" t="s">
        <v>3</v>
      </c>
      <c r="B6" s="165"/>
      <c r="C6" s="166" t="s">
        <v>7</v>
      </c>
      <c r="D6" s="167"/>
      <c r="E6" s="166" t="s">
        <v>8</v>
      </c>
      <c r="F6" s="166" t="s">
        <v>70</v>
      </c>
      <c r="G6" s="167"/>
      <c r="H6" s="166" t="s">
        <v>9</v>
      </c>
      <c r="I6" s="167"/>
      <c r="J6" s="168" t="s">
        <v>62</v>
      </c>
      <c r="K6" s="168" t="s">
        <v>63</v>
      </c>
      <c r="L6" s="169"/>
      <c r="M6" s="166" t="s">
        <v>64</v>
      </c>
      <c r="N6" s="30"/>
    </row>
    <row r="7" spans="1:15" ht="14.45" customHeight="1">
      <c r="A7" s="30" t="s">
        <v>22</v>
      </c>
      <c r="B7" s="30"/>
      <c r="C7" s="170">
        <f>'Allocation '!M12</f>
        <v>87725.95</v>
      </c>
      <c r="D7" s="171"/>
      <c r="E7" s="170">
        <v>0</v>
      </c>
      <c r="F7" s="170"/>
      <c r="G7" s="171"/>
      <c r="H7" s="172">
        <f>C7+E7</f>
        <v>87725.95</v>
      </c>
      <c r="I7" s="171"/>
      <c r="J7" s="171">
        <v>0</v>
      </c>
      <c r="K7" s="172">
        <v>0</v>
      </c>
      <c r="L7" s="173"/>
      <c r="M7" s="172">
        <f>H7-K7</f>
        <v>87725.95</v>
      </c>
      <c r="N7" s="30"/>
    </row>
    <row r="8" spans="1:15" ht="14.45" hidden="1" customHeight="1">
      <c r="A8" s="30" t="s">
        <v>71</v>
      </c>
      <c r="B8" s="30"/>
      <c r="C8" s="170"/>
      <c r="D8" s="171"/>
      <c r="E8" s="170">
        <v>0</v>
      </c>
      <c r="F8" s="170"/>
      <c r="G8" s="171"/>
      <c r="H8" s="172">
        <f>+C8+E8</f>
        <v>0</v>
      </c>
      <c r="I8" s="171"/>
      <c r="J8" s="171"/>
      <c r="K8" s="172">
        <v>0</v>
      </c>
      <c r="L8" s="173"/>
      <c r="M8" s="172">
        <f>H8-K8</f>
        <v>0</v>
      </c>
      <c r="N8" s="30"/>
    </row>
    <row r="9" spans="1:15" ht="14.45" customHeight="1">
      <c r="A9" s="30" t="s">
        <v>25</v>
      </c>
      <c r="B9" s="30"/>
      <c r="C9" s="14">
        <f>'Allocation '!M16</f>
        <v>76046.099999999991</v>
      </c>
      <c r="D9" s="171"/>
      <c r="E9" s="170">
        <v>0</v>
      </c>
      <c r="F9" s="170"/>
      <c r="G9" s="171"/>
      <c r="H9" s="172">
        <f>C9+E9</f>
        <v>76046.099999999991</v>
      </c>
      <c r="I9" s="171"/>
      <c r="J9" s="171">
        <v>0</v>
      </c>
      <c r="K9" s="172">
        <v>0</v>
      </c>
      <c r="L9" s="173"/>
      <c r="M9" s="172">
        <f>H9-K9</f>
        <v>76046.099999999991</v>
      </c>
      <c r="N9" s="30"/>
    </row>
    <row r="10" spans="1:15" hidden="1">
      <c r="A10" s="30" t="s">
        <v>29</v>
      </c>
      <c r="B10" s="30"/>
      <c r="C10" s="170">
        <v>0</v>
      </c>
      <c r="D10" s="171"/>
      <c r="E10" s="170">
        <v>0</v>
      </c>
      <c r="F10" s="170"/>
      <c r="G10" s="171"/>
      <c r="H10" s="172">
        <f>+C10+E10</f>
        <v>0</v>
      </c>
      <c r="I10" s="171"/>
      <c r="J10" s="171"/>
      <c r="K10" s="172">
        <v>0</v>
      </c>
      <c r="L10" s="173"/>
      <c r="M10" s="172">
        <f>H10-K10</f>
        <v>0</v>
      </c>
      <c r="N10" s="30"/>
    </row>
    <row r="11" spans="1:15">
      <c r="A11" s="174" t="s">
        <v>30</v>
      </c>
      <c r="B11" s="30"/>
      <c r="C11" s="175">
        <f>SUM(C7:C9)</f>
        <v>163772.04999999999</v>
      </c>
      <c r="D11" s="171"/>
      <c r="E11" s="175">
        <f>SUM(E7:E10)</f>
        <v>0</v>
      </c>
      <c r="F11" s="175">
        <f>SUM(F7:F10)</f>
        <v>0</v>
      </c>
      <c r="G11" s="171"/>
      <c r="H11" s="176">
        <f>SUM(H7:H10)</f>
        <v>163772.04999999999</v>
      </c>
      <c r="I11" s="171"/>
      <c r="J11" s="176">
        <f>SUM(J7:J9)</f>
        <v>0</v>
      </c>
      <c r="K11" s="176">
        <f>SUM(K7:K9)</f>
        <v>0</v>
      </c>
      <c r="L11" s="173"/>
      <c r="M11" s="176">
        <f>SUM(M7:M10)</f>
        <v>163772.04999999999</v>
      </c>
      <c r="N11" s="30"/>
      <c r="O11" s="20"/>
    </row>
    <row r="12" spans="1:15" hidden="1">
      <c r="A12" s="177" t="s">
        <v>29</v>
      </c>
      <c r="B12" s="30"/>
      <c r="C12" s="171">
        <v>0</v>
      </c>
      <c r="D12" s="171"/>
      <c r="E12" s="171">
        <v>0</v>
      </c>
      <c r="F12" s="171"/>
      <c r="G12" s="171"/>
      <c r="H12" s="173">
        <f>+C12+E12</f>
        <v>0</v>
      </c>
      <c r="I12" s="171"/>
      <c r="J12" s="171"/>
      <c r="K12" s="173">
        <v>0</v>
      </c>
      <c r="L12" s="173"/>
      <c r="M12" s="172">
        <f>H12-K12</f>
        <v>0</v>
      </c>
      <c r="N12" s="30"/>
    </row>
    <row r="13" spans="1:15" hidden="1">
      <c r="A13" s="174" t="s">
        <v>72</v>
      </c>
      <c r="B13" s="30"/>
      <c r="C13" s="175">
        <f>+C12+C11</f>
        <v>163772.04999999999</v>
      </c>
      <c r="D13" s="171"/>
      <c r="E13" s="175">
        <f>+E12+E11</f>
        <v>0</v>
      </c>
      <c r="F13" s="171"/>
      <c r="G13" s="171"/>
      <c r="H13" s="175">
        <f>+H12+H11</f>
        <v>163772.04999999999</v>
      </c>
      <c r="I13" s="171"/>
      <c r="J13" s="171"/>
      <c r="K13" s="175">
        <f>+K12+K11</f>
        <v>0</v>
      </c>
      <c r="L13" s="173"/>
      <c r="M13" s="175">
        <f>+M12+M11</f>
        <v>163772.04999999999</v>
      </c>
      <c r="N13" s="30"/>
    </row>
    <row r="14" spans="1:15">
      <c r="A14" s="30"/>
      <c r="B14" s="30"/>
      <c r="C14" s="170"/>
      <c r="D14" s="171"/>
      <c r="E14" s="170"/>
      <c r="F14" s="170"/>
      <c r="G14" s="171"/>
      <c r="H14" s="172"/>
      <c r="I14" s="171"/>
      <c r="J14" s="171"/>
      <c r="K14" s="172"/>
      <c r="L14" s="173"/>
      <c r="M14" s="172"/>
      <c r="N14" s="30"/>
    </row>
    <row r="15" spans="1:15" ht="15.4">
      <c r="A15" s="29" t="s">
        <v>32</v>
      </c>
      <c r="B15" s="30"/>
      <c r="C15" s="170">
        <v>24300</v>
      </c>
      <c r="D15" s="171"/>
      <c r="E15" s="172">
        <v>0</v>
      </c>
      <c r="F15" s="172"/>
      <c r="G15" s="171"/>
      <c r="H15" s="172">
        <f t="shared" ref="H15:H23" si="0">C15+E15</f>
        <v>24300</v>
      </c>
      <c r="I15" s="171"/>
      <c r="J15" s="171">
        <v>0</v>
      </c>
      <c r="K15" s="172">
        <v>0</v>
      </c>
      <c r="L15" s="173"/>
      <c r="M15" s="172">
        <f>H15-J15-K15</f>
        <v>24300</v>
      </c>
      <c r="N15" s="30"/>
      <c r="O15" s="178"/>
    </row>
    <row r="16" spans="1:15" ht="15.4" hidden="1">
      <c r="A16" s="29" t="s">
        <v>73</v>
      </c>
      <c r="B16" s="30"/>
      <c r="C16" s="170">
        <v>0</v>
      </c>
      <c r="D16" s="171"/>
      <c r="E16" s="172">
        <v>0</v>
      </c>
      <c r="F16" s="179">
        <v>0</v>
      </c>
      <c r="G16" s="171"/>
      <c r="H16" s="172">
        <f t="shared" si="0"/>
        <v>0</v>
      </c>
      <c r="I16" s="171"/>
      <c r="J16" s="171">
        <v>0</v>
      </c>
      <c r="K16" s="172">
        <v>0</v>
      </c>
      <c r="L16" s="173"/>
      <c r="M16" s="172">
        <f t="shared" ref="M16:M40" si="1">H16-J16-K16</f>
        <v>0</v>
      </c>
      <c r="N16" s="30"/>
      <c r="O16" s="180"/>
    </row>
    <row r="17" spans="1:24" ht="15.4" hidden="1">
      <c r="A17" s="29" t="s">
        <v>74</v>
      </c>
      <c r="B17" s="30"/>
      <c r="C17" s="170">
        <v>0</v>
      </c>
      <c r="D17" s="171"/>
      <c r="E17" s="172">
        <v>0</v>
      </c>
      <c r="F17" s="179">
        <v>0</v>
      </c>
      <c r="G17" s="171"/>
      <c r="H17" s="172">
        <f t="shared" si="0"/>
        <v>0</v>
      </c>
      <c r="I17" s="171"/>
      <c r="J17" s="171">
        <v>0</v>
      </c>
      <c r="K17" s="172">
        <v>0</v>
      </c>
      <c r="L17" s="173"/>
      <c r="M17" s="172">
        <f t="shared" si="1"/>
        <v>0</v>
      </c>
      <c r="N17" s="30"/>
      <c r="O17" s="180"/>
    </row>
    <row r="18" spans="1:24" ht="15.4" hidden="1">
      <c r="A18" s="29" t="s">
        <v>73</v>
      </c>
      <c r="B18" s="30"/>
      <c r="C18" s="170">
        <v>0</v>
      </c>
      <c r="D18" s="171"/>
      <c r="E18" s="172">
        <v>0</v>
      </c>
      <c r="F18" s="179">
        <v>0</v>
      </c>
      <c r="G18" s="171"/>
      <c r="H18" s="172">
        <f t="shared" si="0"/>
        <v>0</v>
      </c>
      <c r="I18" s="171"/>
      <c r="J18" s="171">
        <v>0</v>
      </c>
      <c r="K18" s="172">
        <v>0</v>
      </c>
      <c r="L18" s="173"/>
      <c r="M18" s="172">
        <f>H18-J18-K18</f>
        <v>0</v>
      </c>
      <c r="N18" s="30"/>
      <c r="O18" s="180"/>
    </row>
    <row r="19" spans="1:24" ht="15.4" hidden="1">
      <c r="A19" s="29" t="s">
        <v>74</v>
      </c>
      <c r="B19" s="30"/>
      <c r="C19" s="170">
        <v>0</v>
      </c>
      <c r="D19" s="171"/>
      <c r="E19" s="172">
        <v>0</v>
      </c>
      <c r="F19" s="179">
        <v>0</v>
      </c>
      <c r="G19" s="171"/>
      <c r="H19" s="172">
        <f t="shared" si="0"/>
        <v>0</v>
      </c>
      <c r="I19" s="171"/>
      <c r="J19" s="171">
        <v>0</v>
      </c>
      <c r="K19" s="172">
        <v>0</v>
      </c>
      <c r="L19" s="173"/>
      <c r="M19" s="172">
        <f t="shared" si="1"/>
        <v>0</v>
      </c>
      <c r="N19" s="30"/>
      <c r="O19" s="180"/>
    </row>
    <row r="20" spans="1:24" hidden="1">
      <c r="A20" s="29" t="s">
        <v>75</v>
      </c>
      <c r="B20" s="30"/>
      <c r="C20" s="170">
        <v>0</v>
      </c>
      <c r="D20" s="171"/>
      <c r="E20" s="172">
        <v>0</v>
      </c>
      <c r="F20" s="179">
        <v>0</v>
      </c>
      <c r="G20" s="171"/>
      <c r="H20" s="172">
        <f t="shared" si="0"/>
        <v>0</v>
      </c>
      <c r="I20" s="171"/>
      <c r="J20" s="171">
        <v>0</v>
      </c>
      <c r="K20" s="172">
        <v>0</v>
      </c>
      <c r="L20" s="173"/>
      <c r="M20" s="172">
        <f t="shared" si="1"/>
        <v>0</v>
      </c>
      <c r="N20" s="30"/>
      <c r="O20" s="181"/>
    </row>
    <row r="21" spans="1:24" hidden="1">
      <c r="A21" s="29" t="s">
        <v>76</v>
      </c>
      <c r="B21" s="30"/>
      <c r="C21" s="170">
        <v>0</v>
      </c>
      <c r="D21" s="171"/>
      <c r="E21" s="172">
        <v>0</v>
      </c>
      <c r="F21" s="179">
        <v>0</v>
      </c>
      <c r="G21" s="171"/>
      <c r="H21" s="172">
        <f t="shared" si="0"/>
        <v>0</v>
      </c>
      <c r="I21" s="171"/>
      <c r="J21" s="171">
        <v>0</v>
      </c>
      <c r="K21" s="172">
        <v>0</v>
      </c>
      <c r="L21" s="173"/>
      <c r="M21" s="172">
        <f t="shared" si="1"/>
        <v>0</v>
      </c>
      <c r="N21" s="30"/>
      <c r="O21" s="181"/>
    </row>
    <row r="22" spans="1:24" ht="15.4" hidden="1">
      <c r="A22" s="29" t="s">
        <v>77</v>
      </c>
      <c r="B22" s="30"/>
      <c r="C22" s="170">
        <v>0</v>
      </c>
      <c r="D22" s="171"/>
      <c r="E22" s="172">
        <v>0</v>
      </c>
      <c r="F22" s="179"/>
      <c r="G22" s="171"/>
      <c r="H22" s="172">
        <f t="shared" si="0"/>
        <v>0</v>
      </c>
      <c r="I22" s="171"/>
      <c r="J22" s="171">
        <v>0</v>
      </c>
      <c r="K22" s="172">
        <v>0</v>
      </c>
      <c r="L22" s="173"/>
      <c r="M22" s="172">
        <f t="shared" si="1"/>
        <v>0</v>
      </c>
      <c r="N22" s="30"/>
      <c r="O22" s="180"/>
    </row>
    <row r="23" spans="1:24" ht="15.4" hidden="1">
      <c r="A23" s="29" t="s">
        <v>78</v>
      </c>
      <c r="B23" s="30"/>
      <c r="C23" s="170">
        <v>0</v>
      </c>
      <c r="D23" s="171"/>
      <c r="E23" s="172">
        <v>0</v>
      </c>
      <c r="F23" s="182">
        <v>0</v>
      </c>
      <c r="G23" s="171"/>
      <c r="H23" s="172">
        <f t="shared" si="0"/>
        <v>0</v>
      </c>
      <c r="I23" s="171"/>
      <c r="J23" s="171">
        <v>0</v>
      </c>
      <c r="K23" s="172">
        <v>0</v>
      </c>
      <c r="L23" s="173"/>
      <c r="M23" s="172">
        <f t="shared" si="1"/>
        <v>0</v>
      </c>
      <c r="N23" s="30"/>
      <c r="O23" s="180"/>
    </row>
    <row r="24" spans="1:24" hidden="1">
      <c r="A24" s="29" t="s">
        <v>79</v>
      </c>
      <c r="B24" s="30"/>
      <c r="C24" s="170">
        <v>0</v>
      </c>
      <c r="D24" s="171"/>
      <c r="E24" s="172">
        <v>0</v>
      </c>
      <c r="F24" s="182">
        <v>0</v>
      </c>
      <c r="G24" s="171"/>
      <c r="H24" s="172">
        <f>C24+E24</f>
        <v>0</v>
      </c>
      <c r="I24" s="171"/>
      <c r="J24" s="171">
        <v>0</v>
      </c>
      <c r="K24" s="172">
        <v>0</v>
      </c>
      <c r="L24" s="173"/>
      <c r="M24" s="172">
        <f t="shared" si="1"/>
        <v>0</v>
      </c>
      <c r="N24" s="30"/>
      <c r="O24" s="183"/>
      <c r="X24" s="172"/>
    </row>
    <row r="25" spans="1:24" hidden="1">
      <c r="A25" s="29" t="s">
        <v>80</v>
      </c>
      <c r="B25" s="30"/>
      <c r="C25" s="172">
        <v>0</v>
      </c>
      <c r="D25" s="173"/>
      <c r="E25" s="172">
        <v>0</v>
      </c>
      <c r="F25" s="172">
        <v>0</v>
      </c>
      <c r="G25" s="171"/>
      <c r="H25" s="172">
        <f t="shared" ref="H25:H38" si="2">C25+E25</f>
        <v>0</v>
      </c>
      <c r="I25" s="171"/>
      <c r="J25" s="171">
        <v>0</v>
      </c>
      <c r="K25" s="172">
        <v>0</v>
      </c>
      <c r="L25" s="173"/>
      <c r="M25" s="172">
        <f t="shared" si="1"/>
        <v>0</v>
      </c>
      <c r="N25" s="30"/>
      <c r="O25" s="183"/>
      <c r="U25" t="s">
        <v>81</v>
      </c>
    </row>
    <row r="26" spans="1:24" ht="15.4" hidden="1">
      <c r="A26" s="29" t="s">
        <v>82</v>
      </c>
      <c r="B26" s="30"/>
      <c r="C26" s="170">
        <v>0</v>
      </c>
      <c r="D26" s="171"/>
      <c r="E26" s="172">
        <v>0</v>
      </c>
      <c r="F26" s="182">
        <v>0</v>
      </c>
      <c r="G26" s="171"/>
      <c r="H26" s="172">
        <f t="shared" si="2"/>
        <v>0</v>
      </c>
      <c r="I26" s="171"/>
      <c r="J26" s="171">
        <v>0</v>
      </c>
      <c r="K26" s="172">
        <v>0</v>
      </c>
      <c r="L26" s="173"/>
      <c r="M26" s="172">
        <f t="shared" si="1"/>
        <v>0</v>
      </c>
      <c r="N26" s="30"/>
      <c r="O26" s="178"/>
      <c r="Q26" s="178"/>
    </row>
    <row r="27" spans="1:24" ht="15.4" hidden="1">
      <c r="A27" s="29" t="s">
        <v>83</v>
      </c>
      <c r="B27" s="30"/>
      <c r="C27" s="170">
        <v>0</v>
      </c>
      <c r="D27" s="171"/>
      <c r="E27" s="172">
        <v>0</v>
      </c>
      <c r="F27" s="182">
        <v>0</v>
      </c>
      <c r="G27" s="171"/>
      <c r="H27" s="172">
        <f t="shared" si="2"/>
        <v>0</v>
      </c>
      <c r="I27" s="171"/>
      <c r="J27" s="171">
        <v>0</v>
      </c>
      <c r="K27" s="172">
        <v>0</v>
      </c>
      <c r="L27" s="173"/>
      <c r="M27" s="172">
        <f t="shared" si="1"/>
        <v>0</v>
      </c>
      <c r="N27" s="30"/>
      <c r="O27" s="178"/>
    </row>
    <row r="28" spans="1:24" ht="15.4" hidden="1">
      <c r="A28" s="29" t="s">
        <v>84</v>
      </c>
      <c r="B28" s="30"/>
      <c r="C28" s="170">
        <v>0</v>
      </c>
      <c r="D28" s="171"/>
      <c r="E28" s="172">
        <v>0</v>
      </c>
      <c r="F28" s="182">
        <v>0</v>
      </c>
      <c r="G28" s="171"/>
      <c r="H28" s="172">
        <f t="shared" si="2"/>
        <v>0</v>
      </c>
      <c r="I28" s="171"/>
      <c r="J28" s="171">
        <v>0</v>
      </c>
      <c r="K28" s="172">
        <v>0</v>
      </c>
      <c r="L28" s="173"/>
      <c r="M28" s="172">
        <f t="shared" si="1"/>
        <v>0</v>
      </c>
      <c r="N28" s="30"/>
      <c r="O28" s="178"/>
    </row>
    <row r="29" spans="1:24" ht="15.4" hidden="1">
      <c r="A29" s="29" t="s">
        <v>85</v>
      </c>
      <c r="B29" s="30"/>
      <c r="C29" s="170">
        <v>0</v>
      </c>
      <c r="D29" s="171"/>
      <c r="E29" s="172">
        <v>0</v>
      </c>
      <c r="F29" s="182">
        <v>0</v>
      </c>
      <c r="G29" s="171"/>
      <c r="H29" s="172">
        <f t="shared" si="2"/>
        <v>0</v>
      </c>
      <c r="I29" s="171"/>
      <c r="J29" s="171">
        <v>0</v>
      </c>
      <c r="K29" s="172">
        <v>0</v>
      </c>
      <c r="L29" s="173"/>
      <c r="M29" s="172">
        <f t="shared" si="1"/>
        <v>0</v>
      </c>
      <c r="N29" s="30"/>
      <c r="O29" s="178"/>
    </row>
    <row r="30" spans="1:24" ht="15.4" hidden="1">
      <c r="A30" s="29" t="s">
        <v>86</v>
      </c>
      <c r="B30" s="30"/>
      <c r="C30" s="170">
        <v>0</v>
      </c>
      <c r="D30" s="171"/>
      <c r="E30" s="172">
        <v>0</v>
      </c>
      <c r="F30" s="182">
        <v>0</v>
      </c>
      <c r="G30" s="171"/>
      <c r="H30" s="172">
        <f t="shared" si="2"/>
        <v>0</v>
      </c>
      <c r="I30" s="171"/>
      <c r="J30" s="171">
        <v>0</v>
      </c>
      <c r="K30" s="172">
        <v>0</v>
      </c>
      <c r="L30" s="173"/>
      <c r="M30" s="172">
        <f t="shared" si="1"/>
        <v>0</v>
      </c>
      <c r="N30" s="30"/>
      <c r="O30" s="180"/>
    </row>
    <row r="31" spans="1:24" ht="15.4" hidden="1">
      <c r="A31" s="29" t="s">
        <v>87</v>
      </c>
      <c r="B31" s="30"/>
      <c r="C31" s="170">
        <v>0</v>
      </c>
      <c r="D31" s="171"/>
      <c r="E31" s="172">
        <v>0</v>
      </c>
      <c r="F31" s="182">
        <v>0</v>
      </c>
      <c r="G31" s="171"/>
      <c r="H31" s="172">
        <f t="shared" si="2"/>
        <v>0</v>
      </c>
      <c r="I31" s="171"/>
      <c r="J31" s="171">
        <v>0</v>
      </c>
      <c r="K31" s="172">
        <v>0</v>
      </c>
      <c r="L31" s="173"/>
      <c r="M31" s="172">
        <f t="shared" si="1"/>
        <v>0</v>
      </c>
      <c r="N31" s="30"/>
      <c r="O31" s="180"/>
    </row>
    <row r="32" spans="1:24" ht="15.4" hidden="1">
      <c r="A32" s="29" t="s">
        <v>88</v>
      </c>
      <c r="B32" s="30"/>
      <c r="C32" s="170">
        <v>0</v>
      </c>
      <c r="D32" s="171"/>
      <c r="E32" s="172">
        <v>0</v>
      </c>
      <c r="F32" s="182">
        <v>0</v>
      </c>
      <c r="G32" s="171"/>
      <c r="H32" s="172">
        <f t="shared" si="2"/>
        <v>0</v>
      </c>
      <c r="I32" s="171"/>
      <c r="J32" s="171">
        <v>0</v>
      </c>
      <c r="K32" s="172">
        <v>0</v>
      </c>
      <c r="L32" s="173"/>
      <c r="M32" s="172">
        <f t="shared" si="1"/>
        <v>0</v>
      </c>
      <c r="N32" s="30"/>
      <c r="O32" s="180"/>
    </row>
    <row r="33" spans="1:16" ht="15.4">
      <c r="A33" s="29" t="s">
        <v>89</v>
      </c>
      <c r="B33" s="30"/>
      <c r="C33" s="170">
        <v>0</v>
      </c>
      <c r="D33" s="171"/>
      <c r="E33" s="172">
        <v>1250</v>
      </c>
      <c r="F33" s="182">
        <v>0</v>
      </c>
      <c r="G33" s="171"/>
      <c r="H33" s="172">
        <f t="shared" si="2"/>
        <v>1250</v>
      </c>
      <c r="I33" s="171"/>
      <c r="J33" s="171">
        <v>0</v>
      </c>
      <c r="K33" s="172">
        <v>1250</v>
      </c>
      <c r="L33" s="173"/>
      <c r="M33" s="172">
        <f t="shared" si="1"/>
        <v>0</v>
      </c>
      <c r="N33" s="30"/>
      <c r="O33" s="178"/>
    </row>
    <row r="34" spans="1:16" ht="15.4">
      <c r="A34" s="29" t="s">
        <v>90</v>
      </c>
      <c r="B34" s="30"/>
      <c r="C34" s="170">
        <v>0</v>
      </c>
      <c r="D34" s="171"/>
      <c r="E34" s="172">
        <v>3204</v>
      </c>
      <c r="F34" s="182">
        <v>0</v>
      </c>
      <c r="G34" s="171"/>
      <c r="H34" s="172">
        <f t="shared" si="2"/>
        <v>3204</v>
      </c>
      <c r="I34" s="171"/>
      <c r="J34" s="171">
        <v>3204</v>
      </c>
      <c r="K34" s="172">
        <v>0</v>
      </c>
      <c r="L34" s="173"/>
      <c r="M34" s="172">
        <f t="shared" si="1"/>
        <v>0</v>
      </c>
      <c r="N34" s="30"/>
      <c r="O34" s="178"/>
    </row>
    <row r="35" spans="1:16" ht="15.4" hidden="1">
      <c r="A35" s="29" t="s">
        <v>91</v>
      </c>
      <c r="B35" s="30"/>
      <c r="C35" s="170">
        <v>0</v>
      </c>
      <c r="D35" s="171"/>
      <c r="E35" s="172">
        <v>0</v>
      </c>
      <c r="F35" s="182">
        <v>0</v>
      </c>
      <c r="G35" s="171"/>
      <c r="H35" s="172">
        <f t="shared" si="2"/>
        <v>0</v>
      </c>
      <c r="I35" s="171"/>
      <c r="J35" s="171">
        <v>0</v>
      </c>
      <c r="K35" s="172">
        <v>0</v>
      </c>
      <c r="L35" s="173"/>
      <c r="M35" s="172">
        <f t="shared" si="1"/>
        <v>0</v>
      </c>
      <c r="N35" s="30"/>
      <c r="O35" s="178"/>
      <c r="P35" s="172"/>
    </row>
    <row r="36" spans="1:16" ht="15.4" hidden="1">
      <c r="A36" s="29" t="s">
        <v>92</v>
      </c>
      <c r="B36" s="30"/>
      <c r="C36" s="170">
        <v>0</v>
      </c>
      <c r="D36" s="171"/>
      <c r="E36" s="172">
        <v>0</v>
      </c>
      <c r="F36" s="182">
        <v>0</v>
      </c>
      <c r="G36" s="171"/>
      <c r="H36" s="172">
        <f t="shared" si="2"/>
        <v>0</v>
      </c>
      <c r="I36" s="171"/>
      <c r="J36" s="171">
        <v>0</v>
      </c>
      <c r="K36" s="172">
        <v>0</v>
      </c>
      <c r="L36" s="173"/>
      <c r="M36" s="172">
        <f t="shared" si="1"/>
        <v>0</v>
      </c>
      <c r="N36" s="30"/>
      <c r="O36" s="178"/>
    </row>
    <row r="37" spans="1:16" ht="15.4" hidden="1">
      <c r="A37" s="29" t="s">
        <v>93</v>
      </c>
      <c r="B37" s="30"/>
      <c r="C37" s="170">
        <v>0</v>
      </c>
      <c r="D37" s="171"/>
      <c r="E37" s="172">
        <v>0</v>
      </c>
      <c r="F37" s="182">
        <v>0</v>
      </c>
      <c r="G37" s="171"/>
      <c r="H37" s="172">
        <f t="shared" si="2"/>
        <v>0</v>
      </c>
      <c r="I37" s="171"/>
      <c r="J37" s="171">
        <v>0</v>
      </c>
      <c r="K37" s="172">
        <v>0</v>
      </c>
      <c r="L37" s="173"/>
      <c r="M37" s="172">
        <f t="shared" si="1"/>
        <v>0</v>
      </c>
      <c r="N37" s="30"/>
      <c r="O37" s="178"/>
    </row>
    <row r="38" spans="1:16" ht="15.4" hidden="1">
      <c r="A38" s="29" t="s">
        <v>94</v>
      </c>
      <c r="B38" s="30"/>
      <c r="C38" s="170">
        <v>0</v>
      </c>
      <c r="D38" s="171"/>
      <c r="E38" s="172">
        <v>0</v>
      </c>
      <c r="F38" s="182">
        <v>0</v>
      </c>
      <c r="G38" s="171"/>
      <c r="H38" s="172">
        <f t="shared" si="2"/>
        <v>0</v>
      </c>
      <c r="I38" s="171"/>
      <c r="J38" s="171">
        <v>0</v>
      </c>
      <c r="K38" s="172">
        <v>0</v>
      </c>
      <c r="L38" s="173"/>
      <c r="M38" s="172">
        <f t="shared" si="1"/>
        <v>0</v>
      </c>
      <c r="N38" s="30"/>
      <c r="O38" s="178"/>
    </row>
    <row r="39" spans="1:16" ht="15.4" hidden="1">
      <c r="A39" s="29" t="s">
        <v>95</v>
      </c>
      <c r="B39" s="30"/>
      <c r="C39" s="170">
        <v>0</v>
      </c>
      <c r="D39" s="171"/>
      <c r="E39" s="172">
        <v>0</v>
      </c>
      <c r="F39" s="182">
        <v>0</v>
      </c>
      <c r="G39" s="171"/>
      <c r="H39" s="172">
        <f t="shared" ref="H39:H40" si="3">+C39+E39+F39</f>
        <v>0</v>
      </c>
      <c r="I39" s="171"/>
      <c r="J39" s="171">
        <v>0</v>
      </c>
      <c r="K39" s="172">
        <v>0</v>
      </c>
      <c r="L39" s="173"/>
      <c r="M39" s="172">
        <f t="shared" si="1"/>
        <v>0</v>
      </c>
      <c r="N39" s="30"/>
      <c r="O39" s="178"/>
    </row>
    <row r="40" spans="1:16" ht="15.4" hidden="1">
      <c r="A40" s="29" t="s">
        <v>94</v>
      </c>
      <c r="B40" s="30"/>
      <c r="C40" s="170">
        <v>0</v>
      </c>
      <c r="D40" s="171"/>
      <c r="E40" s="172">
        <v>0</v>
      </c>
      <c r="F40" s="182">
        <v>0</v>
      </c>
      <c r="G40" s="171"/>
      <c r="H40" s="172">
        <f t="shared" si="3"/>
        <v>0</v>
      </c>
      <c r="I40" s="171"/>
      <c r="J40" s="171">
        <v>0</v>
      </c>
      <c r="K40" s="172">
        <v>0</v>
      </c>
      <c r="L40" s="173"/>
      <c r="M40" s="172">
        <f t="shared" si="1"/>
        <v>0</v>
      </c>
      <c r="N40" s="30"/>
      <c r="O40" s="178"/>
    </row>
    <row r="41" spans="1:16" ht="15.4">
      <c r="A41" s="160" t="s">
        <v>67</v>
      </c>
      <c r="B41" s="30"/>
      <c r="C41" s="175">
        <f>SUM(C15:C40)</f>
        <v>24300</v>
      </c>
      <c r="D41" s="171"/>
      <c r="E41" s="175">
        <f>SUM(E15:E38)</f>
        <v>4454</v>
      </c>
      <c r="F41" s="175">
        <f>SUM(F15:F40)</f>
        <v>0</v>
      </c>
      <c r="G41" s="171"/>
      <c r="H41" s="175">
        <f>SUM(H15:H40)</f>
        <v>28754</v>
      </c>
      <c r="I41" s="171"/>
      <c r="J41" s="175">
        <f>SUM(J15:J40)</f>
        <v>3204</v>
      </c>
      <c r="K41" s="176">
        <f>SUM(K15:K40)</f>
        <v>1250</v>
      </c>
      <c r="L41" s="171"/>
      <c r="M41" s="175">
        <f>SUM(M15:M40)</f>
        <v>24300</v>
      </c>
      <c r="N41" s="30"/>
      <c r="O41" s="178"/>
    </row>
    <row r="42" spans="1:16" ht="15.4">
      <c r="A42" s="160" t="s">
        <v>68</v>
      </c>
      <c r="B42" s="30"/>
      <c r="C42" s="175">
        <f>C13-C41</f>
        <v>139472.04999999999</v>
      </c>
      <c r="D42" s="171"/>
      <c r="E42" s="171"/>
      <c r="F42" s="171"/>
      <c r="G42" s="171"/>
      <c r="H42" s="175">
        <f>H13-H41</f>
        <v>135018.04999999999</v>
      </c>
      <c r="I42" s="171"/>
      <c r="J42" s="171"/>
      <c r="K42" s="171"/>
      <c r="L42" s="171"/>
      <c r="M42" s="171"/>
      <c r="N42" s="30"/>
      <c r="O42" s="178"/>
    </row>
    <row r="43" spans="1:16" ht="15.4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184"/>
      <c r="L43" s="30"/>
      <c r="M43" s="30"/>
      <c r="N43" s="30"/>
      <c r="O43" s="178"/>
    </row>
    <row r="44" spans="1:16" ht="15.4">
      <c r="K44" s="20"/>
      <c r="O44" s="178"/>
    </row>
    <row r="45" spans="1:16" ht="15.4">
      <c r="O45" s="178"/>
    </row>
    <row r="46" spans="1:16" ht="15.4">
      <c r="J46" s="20"/>
      <c r="O46" s="178"/>
    </row>
    <row r="47" spans="1:16" ht="15.4">
      <c r="O47" s="178"/>
    </row>
    <row r="48" spans="1:16" ht="15.4">
      <c r="O48" s="178"/>
    </row>
    <row r="49" spans="15:15" ht="15.4">
      <c r="O49" s="178"/>
    </row>
    <row r="50" spans="15:15" ht="15.4">
      <c r="O50" s="178"/>
    </row>
    <row r="51" spans="15:15" ht="15.4">
      <c r="O51" s="178"/>
    </row>
    <row r="52" spans="15:15" ht="15.4">
      <c r="O52" s="178"/>
    </row>
    <row r="53" spans="15:15" ht="15.4">
      <c r="O53" s="178"/>
    </row>
    <row r="54" spans="15:15" ht="15.4">
      <c r="O54" s="178"/>
    </row>
    <row r="55" spans="15:15" ht="15.4">
      <c r="O55" s="178"/>
    </row>
    <row r="56" spans="15:15" ht="15.4">
      <c r="O56" s="178"/>
    </row>
  </sheetData>
  <mergeCells count="4">
    <mergeCell ref="A1:M1"/>
    <mergeCell ref="A2:M2"/>
    <mergeCell ref="A3:M3"/>
    <mergeCell ref="A4:M4"/>
  </mergeCells>
  <pageMargins left="0.7" right="0.7" top="0.75" bottom="0.75" header="0.3" footer="0.3"/>
  <pageSetup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zoomScale="140" zoomScaleNormal="140" workbookViewId="0">
      <selection activeCell="B19" sqref="B19"/>
    </sheetView>
  </sheetViews>
  <sheetFormatPr defaultRowHeight="14.25"/>
  <cols>
    <col min="1" max="1" width="30.140625" bestFit="1" customWidth="1"/>
    <col min="2" max="2" width="2.7109375" customWidth="1"/>
    <col min="3" max="3" width="19.140625" bestFit="1" customWidth="1"/>
    <col min="4" max="5" width="15" customWidth="1"/>
    <col min="6" max="6" width="3.42578125" customWidth="1"/>
    <col min="7" max="7" width="16.5703125" customWidth="1"/>
  </cols>
  <sheetData>
    <row r="1" spans="1:7">
      <c r="A1" s="186" t="s">
        <v>96</v>
      </c>
      <c r="B1" s="186"/>
      <c r="C1" s="186"/>
      <c r="D1" s="186"/>
      <c r="E1" s="186"/>
      <c r="F1" s="186"/>
      <c r="G1" s="186"/>
    </row>
    <row r="2" spans="1:7">
      <c r="A2" s="186" t="s">
        <v>97</v>
      </c>
      <c r="B2" s="186"/>
      <c r="C2" s="186"/>
      <c r="D2" s="186"/>
      <c r="E2" s="186"/>
      <c r="F2" s="186"/>
      <c r="G2" s="186"/>
    </row>
    <row r="3" spans="1:7">
      <c r="A3" s="186" t="s">
        <v>98</v>
      </c>
      <c r="B3" s="186"/>
      <c r="C3" s="186"/>
      <c r="D3" s="186"/>
      <c r="E3" s="186"/>
      <c r="F3" s="186"/>
      <c r="G3" s="186"/>
    </row>
    <row r="5" spans="1:7">
      <c r="C5" s="1"/>
    </row>
    <row r="6" spans="1:7">
      <c r="A6" s="34" t="s">
        <v>99</v>
      </c>
      <c r="B6" s="34"/>
      <c r="C6" s="104" t="s">
        <v>100</v>
      </c>
      <c r="D6" s="1" t="s">
        <v>101</v>
      </c>
      <c r="E6" s="1" t="s">
        <v>102</v>
      </c>
      <c r="F6" s="1"/>
      <c r="G6" s="145" t="s">
        <v>103</v>
      </c>
    </row>
    <row r="7" spans="1:7" ht="18" customHeight="1">
      <c r="A7" s="3" t="s">
        <v>104</v>
      </c>
      <c r="B7" s="3"/>
      <c r="C7" s="132">
        <f>Referendums!G18</f>
        <v>157063.76499999998</v>
      </c>
      <c r="D7" s="105">
        <f>C7/+C$16</f>
        <v>0.29081177449874246</v>
      </c>
      <c r="E7" s="134">
        <f>80000*D7</f>
        <v>23264.941959899395</v>
      </c>
      <c r="F7" s="106"/>
      <c r="G7" s="146">
        <v>23300</v>
      </c>
    </row>
    <row r="8" spans="1:7" ht="18" customHeight="1">
      <c r="A8" s="3" t="s">
        <v>105</v>
      </c>
      <c r="B8" s="3"/>
      <c r="C8" s="85">
        <f>Referendums!G29</f>
        <v>163772.04999999999</v>
      </c>
      <c r="D8" s="105">
        <f t="shared" ref="D8:D15" si="0">C8/+C$16</f>
        <v>0.3032325149839416</v>
      </c>
      <c r="E8" s="131">
        <f t="shared" ref="E8:E15" si="1">80000*D8</f>
        <v>24258.601198715329</v>
      </c>
      <c r="F8" s="107"/>
      <c r="G8" s="146">
        <v>24300</v>
      </c>
    </row>
    <row r="9" spans="1:7" ht="18" customHeight="1">
      <c r="A9" s="94" t="s">
        <v>106</v>
      </c>
      <c r="B9" s="94"/>
      <c r="C9" s="85">
        <f>Referendums!G40</f>
        <v>41080.5</v>
      </c>
      <c r="D9" s="105">
        <f t="shared" si="0"/>
        <v>7.6062694042101892E-2</v>
      </c>
      <c r="E9" s="131">
        <f t="shared" si="1"/>
        <v>6085.0155233681517</v>
      </c>
      <c r="F9" s="107"/>
      <c r="G9" s="146">
        <v>6100</v>
      </c>
    </row>
    <row r="10" spans="1:7" ht="18" customHeight="1">
      <c r="A10" s="3" t="s">
        <v>107</v>
      </c>
      <c r="B10" s="3"/>
      <c r="C10" s="130">
        <f>Referendums!G52</f>
        <v>29264.65</v>
      </c>
      <c r="D10" s="105">
        <f t="shared" si="0"/>
        <v>5.4185029860863362E-2</v>
      </c>
      <c r="E10" s="131">
        <f t="shared" si="1"/>
        <v>4334.8023888690686</v>
      </c>
      <c r="F10" s="107"/>
      <c r="G10" s="147">
        <v>4300</v>
      </c>
    </row>
    <row r="11" spans="1:7" ht="18" customHeight="1">
      <c r="A11" s="94" t="s">
        <v>108</v>
      </c>
      <c r="B11" s="94"/>
      <c r="C11" s="85">
        <f>Referendums!G64</f>
        <v>24648.3</v>
      </c>
      <c r="D11" s="105">
        <f t="shared" si="0"/>
        <v>4.5637616425261131E-2</v>
      </c>
      <c r="E11" s="131">
        <f t="shared" si="1"/>
        <v>3651.0093140208905</v>
      </c>
      <c r="F11" s="107"/>
      <c r="G11" s="147">
        <v>3600</v>
      </c>
    </row>
    <row r="12" spans="1:7" ht="18" customHeight="1">
      <c r="A12" s="94" t="s">
        <v>109</v>
      </c>
      <c r="B12" s="94"/>
      <c r="C12" s="85">
        <f>Referendums!G75</f>
        <v>32864.399999999994</v>
      </c>
      <c r="D12" s="105">
        <f t="shared" si="0"/>
        <v>6.0850155233681501E-2</v>
      </c>
      <c r="E12" s="131">
        <f t="shared" si="1"/>
        <v>4868.0124186945204</v>
      </c>
      <c r="F12" s="107"/>
      <c r="G12" s="147">
        <v>4900</v>
      </c>
    </row>
    <row r="13" spans="1:7" ht="18" customHeight="1">
      <c r="A13" s="94" t="s">
        <v>110</v>
      </c>
      <c r="B13" s="94"/>
      <c r="C13" s="85">
        <f>Referendums!G86</f>
        <v>16432.199999999997</v>
      </c>
      <c r="D13" s="105">
        <f t="shared" si="0"/>
        <v>3.042507761684075E-2</v>
      </c>
      <c r="E13" s="131">
        <f t="shared" si="1"/>
        <v>2434.0062093472602</v>
      </c>
      <c r="F13" s="107"/>
      <c r="G13" s="147">
        <v>2400</v>
      </c>
    </row>
    <row r="14" spans="1:7" ht="18" customHeight="1">
      <c r="A14" s="3" t="s">
        <v>111</v>
      </c>
      <c r="B14" s="3"/>
      <c r="C14" s="85">
        <f>Referendums!G97</f>
        <v>49296.6</v>
      </c>
      <c r="D14" s="105">
        <f t="shared" si="0"/>
        <v>9.1275232850522262E-2</v>
      </c>
      <c r="E14" s="131">
        <f t="shared" si="1"/>
        <v>7302.0186280417811</v>
      </c>
      <c r="F14" s="107"/>
      <c r="G14" s="147">
        <v>7300</v>
      </c>
    </row>
    <row r="15" spans="1:7" ht="18" customHeight="1">
      <c r="A15" s="94" t="s">
        <v>112</v>
      </c>
      <c r="B15" s="94"/>
      <c r="C15" s="85">
        <f>Referendums!G109</f>
        <v>25664.9</v>
      </c>
      <c r="D15" s="105">
        <f t="shared" si="0"/>
        <v>4.7519904488045203E-2</v>
      </c>
      <c r="E15" s="131">
        <f t="shared" si="1"/>
        <v>3801.5923590436164</v>
      </c>
      <c r="F15" s="107"/>
      <c r="G15" s="147">
        <v>3800</v>
      </c>
    </row>
    <row r="16" spans="1:7" ht="18" customHeight="1">
      <c r="A16" s="84" t="s">
        <v>113</v>
      </c>
      <c r="B16" s="84"/>
      <c r="C16" s="133">
        <f>SUM(C7:C15)</f>
        <v>540087.36499999987</v>
      </c>
      <c r="D16" s="107"/>
      <c r="E16" s="135">
        <f>SUM(E7:E15)</f>
        <v>80000.000000000015</v>
      </c>
      <c r="G16" s="148">
        <f>SUM(G7:G15)</f>
        <v>80000</v>
      </c>
    </row>
    <row r="17" spans="1:3">
      <c r="A17" s="2"/>
      <c r="B17" s="2"/>
      <c r="C17" s="97"/>
    </row>
    <row r="18" spans="1:3">
      <c r="C18" s="97"/>
    </row>
    <row r="19" spans="1:3">
      <c r="C19" s="97"/>
    </row>
    <row r="20" spans="1:3">
      <c r="C20" s="97"/>
    </row>
    <row r="21" spans="1:3">
      <c r="C21" s="97"/>
    </row>
    <row r="22" spans="1:3">
      <c r="C22" s="97"/>
    </row>
    <row r="23" spans="1:3">
      <c r="C23" s="97"/>
    </row>
    <row r="24" spans="1:3">
      <c r="C24" s="97"/>
    </row>
    <row r="25" spans="1:3">
      <c r="C25" s="97"/>
    </row>
    <row r="26" spans="1:3">
      <c r="C26" s="97"/>
    </row>
  </sheetData>
  <mergeCells count="3">
    <mergeCell ref="A1:G1"/>
    <mergeCell ref="A2:G2"/>
    <mergeCell ref="A3:G3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"/>
  <sheetViews>
    <sheetView zoomScaleNormal="100" workbookViewId="0">
      <selection activeCell="L96" sqref="L96"/>
    </sheetView>
  </sheetViews>
  <sheetFormatPr defaultRowHeight="14.25"/>
  <cols>
    <col min="3" max="3" width="28.5703125" bestFit="1" customWidth="1"/>
    <col min="4" max="4" width="2.140625" bestFit="1" customWidth="1"/>
    <col min="5" max="5" width="6.28515625" style="37" bestFit="1" customWidth="1"/>
    <col min="6" max="6" width="2" bestFit="1" customWidth="1"/>
    <col min="7" max="7" width="11.5703125" style="85" bestFit="1" customWidth="1"/>
  </cols>
  <sheetData>
    <row r="1" spans="1:7" ht="15.4">
      <c r="A1" s="73" t="s">
        <v>114</v>
      </c>
      <c r="B1" s="73"/>
      <c r="C1" s="73"/>
      <c r="D1" s="74"/>
      <c r="E1" s="76"/>
      <c r="F1" s="73"/>
      <c r="G1" s="77"/>
    </row>
    <row r="2" spans="1:7">
      <c r="A2" s="38" t="s">
        <v>115</v>
      </c>
      <c r="B2" s="38"/>
      <c r="C2" s="38"/>
      <c r="D2" s="75"/>
      <c r="E2" s="55"/>
      <c r="F2" s="38"/>
      <c r="G2" s="78"/>
    </row>
    <row r="3" spans="1:7">
      <c r="A3" s="38" t="s">
        <v>116</v>
      </c>
      <c r="B3" s="38"/>
      <c r="C3" s="38"/>
      <c r="D3" s="75"/>
      <c r="E3" s="55"/>
      <c r="F3" s="38"/>
      <c r="G3" s="78"/>
    </row>
    <row r="4" spans="1:7">
      <c r="D4" s="1"/>
      <c r="G4" s="79"/>
    </row>
    <row r="5" spans="1:7">
      <c r="A5" s="38" t="s">
        <v>117</v>
      </c>
      <c r="D5" s="1"/>
      <c r="G5" s="79"/>
    </row>
    <row r="6" spans="1:7">
      <c r="D6" s="1"/>
      <c r="G6" s="79"/>
    </row>
    <row r="7" spans="1:7">
      <c r="A7" s="38" t="s">
        <v>118</v>
      </c>
      <c r="B7" s="38"/>
      <c r="C7" s="38"/>
      <c r="D7" s="75"/>
      <c r="E7" s="55"/>
      <c r="F7" s="38"/>
      <c r="G7" s="78"/>
    </row>
    <row r="8" spans="1:7">
      <c r="B8" t="s">
        <v>119</v>
      </c>
      <c r="D8" s="1"/>
      <c r="G8" s="79"/>
    </row>
    <row r="9" spans="1:7">
      <c r="B9" s="55"/>
      <c r="C9" t="s">
        <v>120</v>
      </c>
      <c r="D9" s="1" t="s">
        <v>121</v>
      </c>
      <c r="E9" s="81">
        <f>Enrollment!J9</f>
        <v>1286.05</v>
      </c>
      <c r="F9" t="s">
        <v>122</v>
      </c>
      <c r="G9" s="80">
        <f>+E9*15</f>
        <v>19290.75</v>
      </c>
    </row>
    <row r="10" spans="1:7">
      <c r="B10" t="s">
        <v>123</v>
      </c>
      <c r="D10" s="1"/>
      <c r="G10" s="79"/>
    </row>
    <row r="11" spans="1:7">
      <c r="B11" s="37"/>
      <c r="C11" t="s">
        <v>124</v>
      </c>
      <c r="D11" s="1" t="s">
        <v>121</v>
      </c>
      <c r="E11" s="81">
        <f>Enrollment!J13</f>
        <v>2571.25</v>
      </c>
      <c r="F11" t="s">
        <v>122</v>
      </c>
      <c r="G11" s="79">
        <f>E11*21.15</f>
        <v>54381.937499999993</v>
      </c>
    </row>
    <row r="12" spans="1:7">
      <c r="B12" s="37"/>
      <c r="C12" t="s">
        <v>125</v>
      </c>
      <c r="D12" s="1" t="s">
        <v>121</v>
      </c>
      <c r="E12" s="81">
        <f>Enrollment!J14</f>
        <v>1786.7</v>
      </c>
      <c r="F12" t="s">
        <v>122</v>
      </c>
      <c r="G12" s="80">
        <f>E12*11.15</f>
        <v>19921.705000000002</v>
      </c>
    </row>
    <row r="13" spans="1:7">
      <c r="C13" s="37" t="s">
        <v>126</v>
      </c>
      <c r="D13" s="1"/>
      <c r="G13" s="82">
        <f>SUM(G11:G12)</f>
        <v>74303.642499999987</v>
      </c>
    </row>
    <row r="14" spans="1:7">
      <c r="B14" t="s">
        <v>127</v>
      </c>
      <c r="D14" s="1"/>
      <c r="G14" s="79"/>
    </row>
    <row r="15" spans="1:7">
      <c r="B15" s="55"/>
      <c r="C15" t="s">
        <v>124</v>
      </c>
      <c r="D15" s="1" t="s">
        <v>121</v>
      </c>
      <c r="E15" s="81">
        <f>Enrollment!J18</f>
        <v>2045.1</v>
      </c>
      <c r="F15" t="s">
        <v>122</v>
      </c>
      <c r="G15" s="79">
        <f>E15*21.15</f>
        <v>43253.864999999998</v>
      </c>
    </row>
    <row r="16" spans="1:7">
      <c r="B16" s="55"/>
      <c r="C16" t="s">
        <v>125</v>
      </c>
      <c r="D16" s="1" t="s">
        <v>121</v>
      </c>
      <c r="E16" s="81">
        <f>Enrollment!J19</f>
        <v>1813.05</v>
      </c>
      <c r="F16" t="s">
        <v>122</v>
      </c>
      <c r="G16" s="80">
        <f>E16*11.15</f>
        <v>20215.5075</v>
      </c>
    </row>
    <row r="17" spans="1:7">
      <c r="A17" s="38"/>
      <c r="D17" s="1"/>
      <c r="G17" s="79">
        <f>SUM(G15:G16)</f>
        <v>63469.372499999998</v>
      </c>
    </row>
    <row r="18" spans="1:7">
      <c r="B18" s="38" t="s">
        <v>128</v>
      </c>
      <c r="D18" s="38"/>
      <c r="E18" s="55"/>
      <c r="F18" s="38"/>
      <c r="G18" s="83">
        <f>G9+G13+G17</f>
        <v>157063.76499999998</v>
      </c>
    </row>
    <row r="19" spans="1:7">
      <c r="B19" s="38"/>
      <c r="D19" s="38"/>
      <c r="E19" s="55"/>
      <c r="F19" s="38"/>
      <c r="G19" s="78"/>
    </row>
    <row r="20" spans="1:7">
      <c r="A20" s="38" t="s">
        <v>129</v>
      </c>
      <c r="B20" s="38"/>
      <c r="C20" s="38"/>
      <c r="D20" s="75"/>
      <c r="E20" s="55"/>
      <c r="F20" s="38"/>
      <c r="G20" s="78"/>
    </row>
    <row r="21" spans="1:7">
      <c r="B21" t="s">
        <v>123</v>
      </c>
      <c r="D21" s="1"/>
      <c r="G21" s="79"/>
    </row>
    <row r="22" spans="1:7">
      <c r="B22" s="37"/>
      <c r="C22" t="s">
        <v>130</v>
      </c>
      <c r="D22" s="1" t="s">
        <v>121</v>
      </c>
      <c r="E22" s="81">
        <f>Enrollment!J13</f>
        <v>2571.25</v>
      </c>
      <c r="F22" t="s">
        <v>122</v>
      </c>
      <c r="G22" s="79">
        <f>E22*23</f>
        <v>59138.75</v>
      </c>
    </row>
    <row r="23" spans="1:7">
      <c r="B23" s="37"/>
      <c r="C23" t="s">
        <v>131</v>
      </c>
      <c r="D23" s="1" t="s">
        <v>121</v>
      </c>
      <c r="E23" s="81">
        <f>Enrollment!J14</f>
        <v>1786.7</v>
      </c>
      <c r="F23" t="s">
        <v>122</v>
      </c>
      <c r="G23" s="80">
        <f>E23*16</f>
        <v>28587.200000000001</v>
      </c>
    </row>
    <row r="24" spans="1:7">
      <c r="C24" s="37" t="s">
        <v>126</v>
      </c>
      <c r="D24" s="1"/>
      <c r="G24" s="82">
        <f>SUM(G22:G23)</f>
        <v>87725.95</v>
      </c>
    </row>
    <row r="25" spans="1:7">
      <c r="B25" t="s">
        <v>127</v>
      </c>
      <c r="D25" s="1"/>
      <c r="G25" s="79"/>
    </row>
    <row r="26" spans="1:7">
      <c r="B26" s="37"/>
      <c r="C26" t="s">
        <v>130</v>
      </c>
      <c r="D26" s="1" t="s">
        <v>121</v>
      </c>
      <c r="E26" s="81">
        <f>Enrollment!J18</f>
        <v>2045.1</v>
      </c>
      <c r="F26" t="s">
        <v>122</v>
      </c>
      <c r="G26" s="79">
        <f>E26*23</f>
        <v>47037.299999999996</v>
      </c>
    </row>
    <row r="27" spans="1:7">
      <c r="B27" s="37"/>
      <c r="C27" t="s">
        <v>131</v>
      </c>
      <c r="D27" s="1" t="s">
        <v>121</v>
      </c>
      <c r="E27" s="81">
        <f>Enrollment!J19</f>
        <v>1813.05</v>
      </c>
      <c r="F27" t="s">
        <v>122</v>
      </c>
      <c r="G27" s="80">
        <f>E27*16</f>
        <v>29008.799999999999</v>
      </c>
    </row>
    <row r="28" spans="1:7">
      <c r="D28" s="1"/>
      <c r="G28" s="82">
        <f>SUM(G26:G27)</f>
        <v>76046.099999999991</v>
      </c>
    </row>
    <row r="29" spans="1:7">
      <c r="B29" s="34" t="s">
        <v>132</v>
      </c>
      <c r="C29" s="34"/>
      <c r="D29" s="2"/>
      <c r="E29" s="84"/>
      <c r="F29" s="34"/>
      <c r="G29" s="83">
        <f>G24+G28</f>
        <v>163772.04999999999</v>
      </c>
    </row>
    <row r="30" spans="1:7">
      <c r="D30" s="1"/>
      <c r="G30" s="79"/>
    </row>
    <row r="31" spans="1:7">
      <c r="A31" s="38" t="s">
        <v>133</v>
      </c>
      <c r="D31" s="1"/>
      <c r="G31" s="79"/>
    </row>
    <row r="32" spans="1:7">
      <c r="B32" t="s">
        <v>123</v>
      </c>
      <c r="D32" s="1"/>
      <c r="G32" s="79"/>
    </row>
    <row r="33" spans="1:7">
      <c r="C33" t="s">
        <v>134</v>
      </c>
      <c r="D33" s="1" t="s">
        <v>121</v>
      </c>
      <c r="E33" s="81">
        <f>Enrollment!J13</f>
        <v>2571.25</v>
      </c>
      <c r="F33" t="s">
        <v>122</v>
      </c>
      <c r="G33" s="79">
        <f>E33*5</f>
        <v>12856.25</v>
      </c>
    </row>
    <row r="34" spans="1:7">
      <c r="C34" t="s">
        <v>135</v>
      </c>
      <c r="D34" s="1" t="s">
        <v>121</v>
      </c>
      <c r="E34" s="81">
        <f>Enrollment!J14</f>
        <v>1786.7</v>
      </c>
      <c r="F34" t="s">
        <v>122</v>
      </c>
      <c r="G34" s="80">
        <f>E34*5</f>
        <v>8933.5</v>
      </c>
    </row>
    <row r="35" spans="1:7">
      <c r="D35" s="1"/>
      <c r="G35" s="82">
        <f>SUM(G33:G34)</f>
        <v>21789.75</v>
      </c>
    </row>
    <row r="36" spans="1:7">
      <c r="B36" t="s">
        <v>127</v>
      </c>
      <c r="D36" s="1"/>
      <c r="G36" s="79"/>
    </row>
    <row r="37" spans="1:7">
      <c r="B37" s="37"/>
      <c r="C37" t="s">
        <v>134</v>
      </c>
      <c r="D37" s="1" t="s">
        <v>121</v>
      </c>
      <c r="E37" s="81">
        <f>Enrollment!J18</f>
        <v>2045.1</v>
      </c>
      <c r="F37" t="s">
        <v>122</v>
      </c>
      <c r="G37" s="79">
        <f>E37*5</f>
        <v>10225.5</v>
      </c>
    </row>
    <row r="38" spans="1:7">
      <c r="B38" s="37"/>
      <c r="C38" t="s">
        <v>135</v>
      </c>
      <c r="D38" s="1" t="s">
        <v>121</v>
      </c>
      <c r="E38" s="81">
        <f>Enrollment!J19</f>
        <v>1813.05</v>
      </c>
      <c r="F38" t="s">
        <v>122</v>
      </c>
      <c r="G38" s="80">
        <f>E38*5</f>
        <v>9065.25</v>
      </c>
    </row>
    <row r="39" spans="1:7">
      <c r="D39" s="1"/>
      <c r="G39" s="82">
        <f>SUM(G37:G38)</f>
        <v>19290.75</v>
      </c>
    </row>
    <row r="40" spans="1:7">
      <c r="B40" s="34" t="s">
        <v>136</v>
      </c>
      <c r="C40" s="34"/>
      <c r="D40" s="2"/>
      <c r="E40" s="84"/>
      <c r="F40" s="34"/>
      <c r="G40" s="83">
        <f>G35+G39</f>
        <v>41080.5</v>
      </c>
    </row>
    <row r="41" spans="1:7">
      <c r="A41" s="38"/>
      <c r="B41" s="38"/>
      <c r="C41" s="38"/>
      <c r="D41" s="38"/>
      <c r="E41" s="55"/>
      <c r="F41" s="38"/>
      <c r="G41" s="78"/>
    </row>
    <row r="42" spans="1:7">
      <c r="A42" s="38"/>
      <c r="B42" s="38"/>
      <c r="C42" s="38"/>
      <c r="D42" s="38"/>
      <c r="E42" s="55"/>
      <c r="F42" s="38"/>
      <c r="G42" s="78"/>
    </row>
    <row r="43" spans="1:7">
      <c r="A43" s="38" t="s">
        <v>137</v>
      </c>
      <c r="D43" s="1"/>
      <c r="G43" s="79"/>
    </row>
    <row r="44" spans="1:7">
      <c r="B44" t="s">
        <v>123</v>
      </c>
      <c r="D44" s="1"/>
      <c r="G44" s="79"/>
    </row>
    <row r="45" spans="1:7">
      <c r="C45" t="s">
        <v>138</v>
      </c>
      <c r="D45" s="1" t="s">
        <v>121</v>
      </c>
      <c r="E45" s="81">
        <f>Enrollment!J13</f>
        <v>2571.25</v>
      </c>
      <c r="F45" t="s">
        <v>122</v>
      </c>
      <c r="G45" s="79">
        <f>E45*4</f>
        <v>10285</v>
      </c>
    </row>
    <row r="46" spans="1:7">
      <c r="C46" t="s">
        <v>139</v>
      </c>
      <c r="D46" s="1" t="s">
        <v>121</v>
      </c>
      <c r="E46" s="81">
        <f>Enrollment!J14</f>
        <v>1786.7</v>
      </c>
      <c r="F46" t="s">
        <v>122</v>
      </c>
      <c r="G46" s="80">
        <f>E46*3</f>
        <v>5360.1</v>
      </c>
    </row>
    <row r="47" spans="1:7">
      <c r="D47" s="1"/>
      <c r="G47" s="82">
        <f>SUM(G45:G46)</f>
        <v>15645.1</v>
      </c>
    </row>
    <row r="48" spans="1:7">
      <c r="B48" t="s">
        <v>127</v>
      </c>
      <c r="D48" s="1"/>
      <c r="G48" s="79"/>
    </row>
    <row r="49" spans="1:7">
      <c r="B49" s="37"/>
      <c r="C49" t="s">
        <v>138</v>
      </c>
      <c r="D49" s="1" t="s">
        <v>121</v>
      </c>
      <c r="E49" s="81">
        <f>Enrollment!J18</f>
        <v>2045.1</v>
      </c>
      <c r="F49" t="s">
        <v>122</v>
      </c>
      <c r="G49" s="79">
        <f>E49*4</f>
        <v>8180.4</v>
      </c>
    </row>
    <row r="50" spans="1:7">
      <c r="B50" s="37"/>
      <c r="C50" t="s">
        <v>139</v>
      </c>
      <c r="D50" s="1" t="s">
        <v>121</v>
      </c>
      <c r="E50" s="81">
        <f>Enrollment!J19</f>
        <v>1813.05</v>
      </c>
      <c r="F50" t="s">
        <v>122</v>
      </c>
      <c r="G50" s="80">
        <f>E50*3</f>
        <v>5439.15</v>
      </c>
    </row>
    <row r="51" spans="1:7">
      <c r="D51" s="1"/>
      <c r="G51" s="80">
        <f>SUM(G49:G50)</f>
        <v>13619.55</v>
      </c>
    </row>
    <row r="52" spans="1:7" ht="21" customHeight="1">
      <c r="B52" s="38" t="s">
        <v>140</v>
      </c>
      <c r="C52" s="34"/>
      <c r="D52" s="2"/>
      <c r="E52" s="84"/>
      <c r="F52" s="34"/>
      <c r="G52" s="83">
        <f>G47+G51</f>
        <v>29264.65</v>
      </c>
    </row>
    <row r="53" spans="1:7">
      <c r="A53" s="38"/>
      <c r="B53" s="38"/>
      <c r="C53" s="38"/>
      <c r="D53" s="38"/>
      <c r="E53" s="55"/>
      <c r="F53" s="38"/>
      <c r="G53" s="78"/>
    </row>
    <row r="54" spans="1:7">
      <c r="A54" s="38"/>
      <c r="B54" s="38"/>
      <c r="C54" s="38"/>
      <c r="D54" s="38"/>
      <c r="E54" s="55"/>
      <c r="F54" s="38"/>
      <c r="G54" s="78"/>
    </row>
    <row r="55" spans="1:7">
      <c r="A55" s="38" t="s">
        <v>141</v>
      </c>
      <c r="D55" s="1"/>
      <c r="G55" s="79"/>
    </row>
    <row r="56" spans="1:7">
      <c r="B56" t="s">
        <v>123</v>
      </c>
      <c r="D56" s="1"/>
      <c r="G56" s="79"/>
    </row>
    <row r="57" spans="1:7">
      <c r="C57" t="s">
        <v>142</v>
      </c>
      <c r="D57" s="1" t="s">
        <v>121</v>
      </c>
      <c r="E57" s="81">
        <f>Enrollment!J13</f>
        <v>2571.25</v>
      </c>
      <c r="F57" t="s">
        <v>122</v>
      </c>
      <c r="G57" s="79">
        <f>E57*3</f>
        <v>7713.75</v>
      </c>
    </row>
    <row r="58" spans="1:7">
      <c r="C58" t="s">
        <v>139</v>
      </c>
      <c r="D58" s="1" t="s">
        <v>121</v>
      </c>
      <c r="E58" s="81">
        <f>Enrollment!J14</f>
        <v>1786.7</v>
      </c>
      <c r="F58" t="s">
        <v>122</v>
      </c>
      <c r="G58" s="80">
        <f>E58*3</f>
        <v>5360.1</v>
      </c>
    </row>
    <row r="59" spans="1:7">
      <c r="D59" s="1"/>
      <c r="G59" s="82">
        <f>SUM(G57:G58)</f>
        <v>13073.85</v>
      </c>
    </row>
    <row r="60" spans="1:7">
      <c r="B60" t="s">
        <v>127</v>
      </c>
      <c r="D60" s="1"/>
      <c r="G60" s="79"/>
    </row>
    <row r="61" spans="1:7">
      <c r="B61" s="37"/>
      <c r="C61" t="s">
        <v>142</v>
      </c>
      <c r="D61" s="1" t="s">
        <v>121</v>
      </c>
      <c r="E61" s="81">
        <f>Enrollment!J18</f>
        <v>2045.1</v>
      </c>
      <c r="F61" t="s">
        <v>122</v>
      </c>
      <c r="G61" s="79">
        <f>E61*3</f>
        <v>6135.2999999999993</v>
      </c>
    </row>
    <row r="62" spans="1:7">
      <c r="B62" s="37"/>
      <c r="C62" t="s">
        <v>139</v>
      </c>
      <c r="D62" s="1" t="s">
        <v>121</v>
      </c>
      <c r="E62" s="81">
        <f>Enrollment!J19</f>
        <v>1813.05</v>
      </c>
      <c r="F62" t="s">
        <v>122</v>
      </c>
      <c r="G62" s="80">
        <f>E62*3</f>
        <v>5439.15</v>
      </c>
    </row>
    <row r="63" spans="1:7">
      <c r="D63" s="1"/>
      <c r="G63" s="80">
        <f>SUM(G61:G62)</f>
        <v>11574.449999999999</v>
      </c>
    </row>
    <row r="64" spans="1:7" ht="21" customHeight="1">
      <c r="B64" s="38" t="s">
        <v>143</v>
      </c>
      <c r="C64" s="34"/>
      <c r="D64" s="2"/>
      <c r="E64" s="84"/>
      <c r="F64" s="34"/>
      <c r="G64" s="83">
        <f>G59+G63</f>
        <v>24648.3</v>
      </c>
    </row>
    <row r="65" spans="1:7">
      <c r="A65" s="38"/>
      <c r="B65" s="38"/>
      <c r="C65" s="38"/>
      <c r="D65" s="38"/>
      <c r="E65" s="55"/>
      <c r="F65" s="38"/>
      <c r="G65" s="78"/>
    </row>
    <row r="66" spans="1:7">
      <c r="A66" s="38" t="s">
        <v>144</v>
      </c>
      <c r="D66" s="1"/>
      <c r="G66" s="79"/>
    </row>
    <row r="67" spans="1:7">
      <c r="B67" t="s">
        <v>123</v>
      </c>
      <c r="D67" s="1"/>
      <c r="G67" s="79"/>
    </row>
    <row r="68" spans="1:7">
      <c r="C68" t="s">
        <v>138</v>
      </c>
      <c r="D68" s="1" t="s">
        <v>121</v>
      </c>
      <c r="E68" s="81">
        <f>Enrollment!J13</f>
        <v>2571.25</v>
      </c>
      <c r="F68" t="s">
        <v>122</v>
      </c>
      <c r="G68" s="79">
        <f>E68*4</f>
        <v>10285</v>
      </c>
    </row>
    <row r="69" spans="1:7">
      <c r="C69" t="s">
        <v>145</v>
      </c>
      <c r="D69" s="1" t="s">
        <v>121</v>
      </c>
      <c r="E69" s="81">
        <f>Enrollment!J14</f>
        <v>1786.7</v>
      </c>
      <c r="F69" t="s">
        <v>122</v>
      </c>
      <c r="G69" s="80">
        <f>E69*4</f>
        <v>7146.8</v>
      </c>
    </row>
    <row r="70" spans="1:7">
      <c r="D70" s="1"/>
      <c r="G70" s="82">
        <f>SUM(G68:G69)</f>
        <v>17431.8</v>
      </c>
    </row>
    <row r="71" spans="1:7">
      <c r="B71" t="s">
        <v>127</v>
      </c>
      <c r="D71" s="1"/>
      <c r="G71" s="79"/>
    </row>
    <row r="72" spans="1:7">
      <c r="B72" s="37"/>
      <c r="C72" t="s">
        <v>138</v>
      </c>
      <c r="D72" s="1" t="s">
        <v>121</v>
      </c>
      <c r="E72" s="81">
        <f>Enrollment!J18</f>
        <v>2045.1</v>
      </c>
      <c r="F72" t="s">
        <v>122</v>
      </c>
      <c r="G72" s="79">
        <f>E72*4</f>
        <v>8180.4</v>
      </c>
    </row>
    <row r="73" spans="1:7">
      <c r="B73" s="37"/>
      <c r="C73" t="s">
        <v>145</v>
      </c>
      <c r="D73" s="1" t="s">
        <v>121</v>
      </c>
      <c r="E73" s="81">
        <f>Enrollment!J19</f>
        <v>1813.05</v>
      </c>
      <c r="F73" t="s">
        <v>122</v>
      </c>
      <c r="G73" s="80">
        <f>E73*4</f>
        <v>7252.2</v>
      </c>
    </row>
    <row r="74" spans="1:7">
      <c r="D74" s="1"/>
      <c r="G74" s="80">
        <f>SUM(G72:G73)</f>
        <v>15432.599999999999</v>
      </c>
    </row>
    <row r="75" spans="1:7" ht="21" customHeight="1">
      <c r="B75" s="38" t="s">
        <v>143</v>
      </c>
      <c r="C75" s="34"/>
      <c r="D75" s="2"/>
      <c r="E75" s="84"/>
      <c r="F75" s="34"/>
      <c r="G75" s="83">
        <f>G70+G74</f>
        <v>32864.399999999994</v>
      </c>
    </row>
    <row r="76" spans="1:7">
      <c r="A76" s="38"/>
      <c r="B76" s="38"/>
      <c r="C76" s="38"/>
      <c r="D76" s="38"/>
      <c r="E76" s="55"/>
      <c r="F76" s="38"/>
      <c r="G76" s="78"/>
    </row>
    <row r="77" spans="1:7">
      <c r="A77" s="38" t="s">
        <v>146</v>
      </c>
      <c r="B77" s="38"/>
      <c r="C77" s="38"/>
      <c r="D77" s="75"/>
      <c r="E77" s="55"/>
      <c r="F77" s="38"/>
      <c r="G77" s="78"/>
    </row>
    <row r="78" spans="1:7">
      <c r="B78" t="s">
        <v>123</v>
      </c>
      <c r="D78" s="1"/>
      <c r="G78" s="79"/>
    </row>
    <row r="79" spans="1:7">
      <c r="C79" t="s">
        <v>147</v>
      </c>
      <c r="D79" s="1" t="s">
        <v>121</v>
      </c>
      <c r="E79" s="81">
        <f>Enrollment!J13</f>
        <v>2571.25</v>
      </c>
      <c r="F79" t="s">
        <v>122</v>
      </c>
      <c r="G79" s="79">
        <f>+E79*2</f>
        <v>5142.5</v>
      </c>
    </row>
    <row r="80" spans="1:7">
      <c r="C80" t="s">
        <v>148</v>
      </c>
      <c r="D80" s="1" t="s">
        <v>121</v>
      </c>
      <c r="E80" s="81">
        <f>Enrollment!J14</f>
        <v>1786.7</v>
      </c>
      <c r="F80" t="s">
        <v>122</v>
      </c>
      <c r="G80" s="80">
        <f>+E80*2</f>
        <v>3573.4</v>
      </c>
    </row>
    <row r="81" spans="1:7">
      <c r="D81" s="1"/>
      <c r="G81" s="82">
        <f>SUM(G79:G80)</f>
        <v>8715.9</v>
      </c>
    </row>
    <row r="82" spans="1:7">
      <c r="B82" t="s">
        <v>127</v>
      </c>
      <c r="D82" s="1"/>
      <c r="G82" s="79"/>
    </row>
    <row r="83" spans="1:7">
      <c r="B83" s="37"/>
      <c r="C83" t="s">
        <v>147</v>
      </c>
      <c r="D83" s="1" t="s">
        <v>121</v>
      </c>
      <c r="E83" s="81">
        <f>Enrollment!J18</f>
        <v>2045.1</v>
      </c>
      <c r="F83" t="s">
        <v>122</v>
      </c>
      <c r="G83" s="79">
        <f>+E83*2</f>
        <v>4090.2</v>
      </c>
    </row>
    <row r="84" spans="1:7">
      <c r="B84" s="37"/>
      <c r="C84" t="s">
        <v>148</v>
      </c>
      <c r="D84" s="1" t="s">
        <v>121</v>
      </c>
      <c r="E84" s="81">
        <f>Enrollment!J19</f>
        <v>1813.05</v>
      </c>
      <c r="F84" t="s">
        <v>122</v>
      </c>
      <c r="G84" s="80">
        <f>+E84*2</f>
        <v>3626.1</v>
      </c>
    </row>
    <row r="85" spans="1:7">
      <c r="D85" s="1"/>
      <c r="G85" s="79">
        <f>SUM(G83:G84)</f>
        <v>7716.2999999999993</v>
      </c>
    </row>
    <row r="86" spans="1:7">
      <c r="A86" s="38"/>
      <c r="B86" s="38" t="s">
        <v>149</v>
      </c>
      <c r="C86" s="38"/>
      <c r="D86" s="38"/>
      <c r="E86" s="55"/>
      <c r="F86" s="38"/>
      <c r="G86" s="83">
        <f>G81+G85</f>
        <v>16432.199999999997</v>
      </c>
    </row>
    <row r="87" spans="1:7">
      <c r="D87" s="1"/>
      <c r="G87" s="79"/>
    </row>
    <row r="88" spans="1:7">
      <c r="A88" s="38" t="s">
        <v>150</v>
      </c>
      <c r="B88" s="38"/>
      <c r="C88" s="38"/>
      <c r="D88" s="75"/>
      <c r="E88" s="55"/>
      <c r="F88" s="38"/>
      <c r="G88" s="78"/>
    </row>
    <row r="89" spans="1:7">
      <c r="B89" t="s">
        <v>123</v>
      </c>
      <c r="D89" s="1"/>
      <c r="G89" s="79"/>
    </row>
    <row r="90" spans="1:7">
      <c r="C90" t="s">
        <v>151</v>
      </c>
      <c r="D90" s="1" t="s">
        <v>121</v>
      </c>
      <c r="E90" s="81">
        <f>Enrollment!J13</f>
        <v>2571.25</v>
      </c>
      <c r="F90" t="s">
        <v>122</v>
      </c>
      <c r="G90" s="79">
        <f>+E90*6</f>
        <v>15427.5</v>
      </c>
    </row>
    <row r="91" spans="1:7">
      <c r="C91" t="s">
        <v>152</v>
      </c>
      <c r="D91" s="1" t="s">
        <v>121</v>
      </c>
      <c r="E91" s="81">
        <f>Enrollment!J14</f>
        <v>1786.7</v>
      </c>
      <c r="F91" t="s">
        <v>122</v>
      </c>
      <c r="G91" s="80">
        <f>+E91*6</f>
        <v>10720.2</v>
      </c>
    </row>
    <row r="92" spans="1:7">
      <c r="D92" s="1"/>
      <c r="G92" s="82">
        <f>SUM(G90:G91)</f>
        <v>26147.7</v>
      </c>
    </row>
    <row r="93" spans="1:7">
      <c r="B93" t="s">
        <v>127</v>
      </c>
      <c r="D93" s="1"/>
      <c r="G93" s="79"/>
    </row>
    <row r="94" spans="1:7">
      <c r="B94" s="37"/>
      <c r="C94" t="s">
        <v>151</v>
      </c>
      <c r="D94" s="1" t="s">
        <v>121</v>
      </c>
      <c r="E94" s="81">
        <f>Enrollment!J18</f>
        <v>2045.1</v>
      </c>
      <c r="F94" t="s">
        <v>122</v>
      </c>
      <c r="G94" s="79">
        <f>+E94*6</f>
        <v>12270.599999999999</v>
      </c>
    </row>
    <row r="95" spans="1:7">
      <c r="B95" s="37"/>
      <c r="C95" t="s">
        <v>152</v>
      </c>
      <c r="D95" s="1" t="s">
        <v>121</v>
      </c>
      <c r="E95" s="81">
        <f>Enrollment!J19</f>
        <v>1813.05</v>
      </c>
      <c r="F95" t="s">
        <v>122</v>
      </c>
      <c r="G95" s="80">
        <f>+E95*6</f>
        <v>10878.3</v>
      </c>
    </row>
    <row r="96" spans="1:7">
      <c r="D96" s="1"/>
      <c r="G96" s="79">
        <f>SUM(G94:G95)</f>
        <v>23148.899999999998</v>
      </c>
    </row>
    <row r="97" spans="1:7">
      <c r="A97" s="38"/>
      <c r="B97" s="38" t="s">
        <v>153</v>
      </c>
      <c r="C97" s="38"/>
      <c r="D97" s="38"/>
      <c r="E97" s="55"/>
      <c r="F97" s="38"/>
      <c r="G97" s="83">
        <f>G92+G96</f>
        <v>49296.6</v>
      </c>
    </row>
    <row r="98" spans="1:7">
      <c r="D98" s="1"/>
      <c r="G98" s="79"/>
    </row>
    <row r="99" spans="1:7">
      <c r="D99" s="1"/>
      <c r="G99" s="79"/>
    </row>
    <row r="100" spans="1:7">
      <c r="A100" s="38" t="s">
        <v>154</v>
      </c>
      <c r="B100" s="38"/>
      <c r="C100" s="38"/>
      <c r="D100" s="75"/>
      <c r="E100" s="55"/>
      <c r="F100" s="38"/>
      <c r="G100" s="78"/>
    </row>
    <row r="101" spans="1:7">
      <c r="B101" t="s">
        <v>123</v>
      </c>
      <c r="D101" s="1"/>
      <c r="G101" s="79"/>
    </row>
    <row r="102" spans="1:7">
      <c r="C102" t="s">
        <v>138</v>
      </c>
      <c r="D102" s="1" t="s">
        <v>121</v>
      </c>
      <c r="E102" s="81">
        <f>Enrollment!J13</f>
        <v>2571.25</v>
      </c>
      <c r="F102" t="s">
        <v>122</v>
      </c>
      <c r="G102" s="79">
        <f>+E102*4</f>
        <v>10285</v>
      </c>
    </row>
    <row r="103" spans="1:7">
      <c r="C103" t="s">
        <v>148</v>
      </c>
      <c r="D103" s="1" t="s">
        <v>121</v>
      </c>
      <c r="E103" s="81">
        <f>Enrollment!J14</f>
        <v>1786.7</v>
      </c>
      <c r="F103" t="s">
        <v>122</v>
      </c>
      <c r="G103" s="80">
        <f>+E103*2</f>
        <v>3573.4</v>
      </c>
    </row>
    <row r="104" spans="1:7">
      <c r="D104" s="1"/>
      <c r="G104" s="82">
        <f>SUM(G102:G103)</f>
        <v>13858.4</v>
      </c>
    </row>
    <row r="105" spans="1:7">
      <c r="B105" t="s">
        <v>127</v>
      </c>
      <c r="D105" s="1"/>
      <c r="G105" s="79"/>
    </row>
    <row r="106" spans="1:7">
      <c r="B106" s="37"/>
      <c r="C106" t="s">
        <v>138</v>
      </c>
      <c r="D106" s="1" t="s">
        <v>121</v>
      </c>
      <c r="E106" s="81">
        <f>Enrollment!J18</f>
        <v>2045.1</v>
      </c>
      <c r="F106" t="s">
        <v>122</v>
      </c>
      <c r="G106" s="79">
        <f>+E106*4</f>
        <v>8180.4</v>
      </c>
    </row>
    <row r="107" spans="1:7">
      <c r="B107" s="37"/>
      <c r="C107" t="s">
        <v>148</v>
      </c>
      <c r="D107" s="1" t="s">
        <v>121</v>
      </c>
      <c r="E107" s="81">
        <f>Enrollment!J19</f>
        <v>1813.05</v>
      </c>
      <c r="F107" t="s">
        <v>122</v>
      </c>
      <c r="G107" s="80">
        <f>+E107*2</f>
        <v>3626.1</v>
      </c>
    </row>
    <row r="108" spans="1:7">
      <c r="D108" s="1"/>
      <c r="G108" s="82">
        <f>SUM(G106:G107)</f>
        <v>11806.5</v>
      </c>
    </row>
    <row r="109" spans="1:7">
      <c r="B109" s="38" t="s">
        <v>155</v>
      </c>
      <c r="D109" s="1"/>
      <c r="G109" s="83">
        <f>G104+G108</f>
        <v>25664.9</v>
      </c>
    </row>
    <row r="110" spans="1:7" ht="24.75" customHeight="1">
      <c r="B110" s="121" t="s">
        <v>156</v>
      </c>
      <c r="G110" s="120">
        <f>+G109+G97+G86+G75+G64+G52+G40+G29+G18</f>
        <v>540087.36499999999</v>
      </c>
    </row>
  </sheetData>
  <pageMargins left="0.7" right="0.7" top="0.75" bottom="0.75" header="0.3" footer="0.3"/>
  <pageSetup orientation="portrait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topLeftCell="A7" zoomScale="200" zoomScaleNormal="200" workbookViewId="0">
      <selection activeCell="J18" sqref="J18:J19"/>
    </sheetView>
  </sheetViews>
  <sheetFormatPr defaultRowHeight="14.25"/>
  <cols>
    <col min="1" max="1" width="25.85546875" customWidth="1"/>
    <col min="2" max="2" width="2.7109375" customWidth="1"/>
    <col min="3" max="3" width="13.28515625" hidden="1" customWidth="1"/>
    <col min="4" max="4" width="2.7109375" hidden="1" customWidth="1"/>
    <col min="5" max="5" width="0" hidden="1" customWidth="1"/>
    <col min="6" max="6" width="2.7109375" hidden="1" customWidth="1"/>
    <col min="7" max="7" width="16.5703125" hidden="1" customWidth="1"/>
    <col min="8" max="8" width="0" style="86" hidden="1" customWidth="1"/>
    <col min="9" max="11" width="16.5703125" bestFit="1" customWidth="1"/>
  </cols>
  <sheetData>
    <row r="1" spans="1:11" s="36" customFormat="1">
      <c r="A1" s="187" t="s">
        <v>96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s="36" customFormat="1">
      <c r="A2" s="187" t="s">
        <v>157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 s="36" customFormat="1" ht="14.45" customHeight="1">
      <c r="A3" s="188" t="s">
        <v>158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6" spans="1:11">
      <c r="C6" s="185" t="s">
        <v>159</v>
      </c>
      <c r="D6" s="185"/>
      <c r="E6" s="185"/>
      <c r="F6" s="185"/>
      <c r="G6" s="185"/>
      <c r="H6" s="185"/>
      <c r="I6" s="185"/>
      <c r="J6" s="185"/>
      <c r="K6" s="185"/>
    </row>
    <row r="7" spans="1:11">
      <c r="C7" s="87" t="s">
        <v>160</v>
      </c>
      <c r="D7" s="87"/>
      <c r="E7" s="88"/>
      <c r="F7" s="87"/>
      <c r="G7" s="87" t="s">
        <v>161</v>
      </c>
      <c r="I7" s="87" t="s">
        <v>162</v>
      </c>
      <c r="J7" s="87" t="s">
        <v>163</v>
      </c>
      <c r="K7" s="87" t="s">
        <v>164</v>
      </c>
    </row>
    <row r="8" spans="1:11">
      <c r="C8" s="1"/>
      <c r="D8" s="1"/>
      <c r="E8" s="1"/>
      <c r="F8" s="1"/>
      <c r="G8" s="1"/>
      <c r="I8" s="1"/>
      <c r="J8" s="1"/>
      <c r="K8" s="1"/>
    </row>
    <row r="9" spans="1:11" ht="18" customHeight="1">
      <c r="A9" s="42" t="s">
        <v>165</v>
      </c>
      <c r="B9" s="3"/>
      <c r="C9" s="89">
        <v>2260</v>
      </c>
      <c r="D9" s="90"/>
      <c r="E9" s="89"/>
      <c r="F9" s="90"/>
      <c r="G9" s="89">
        <f>+C9*75%</f>
        <v>1695</v>
      </c>
      <c r="H9" s="86" t="e">
        <f>E9/#REF!</f>
        <v>#REF!</v>
      </c>
      <c r="I9" s="122">
        <v>1513</v>
      </c>
      <c r="J9" s="89">
        <f>I9*85%</f>
        <v>1286.05</v>
      </c>
      <c r="K9" s="122">
        <v>0</v>
      </c>
    </row>
    <row r="10" spans="1:11" ht="18" customHeight="1">
      <c r="A10" s="91" t="s">
        <v>166</v>
      </c>
      <c r="B10" s="3"/>
      <c r="C10" s="92">
        <f>+C9</f>
        <v>2260</v>
      </c>
      <c r="D10" s="92"/>
      <c r="E10" s="92"/>
      <c r="F10" s="92"/>
      <c r="G10" s="92">
        <f>+G9</f>
        <v>1695</v>
      </c>
      <c r="I10" s="92">
        <f>+I9</f>
        <v>1513</v>
      </c>
      <c r="J10" s="92">
        <f>+J9</f>
        <v>1286.05</v>
      </c>
      <c r="K10" s="92">
        <f>+K9</f>
        <v>0</v>
      </c>
    </row>
    <row r="11" spans="1:11" ht="18" customHeight="1">
      <c r="A11" s="3"/>
      <c r="B11" s="3"/>
      <c r="C11" s="89"/>
      <c r="D11" s="90"/>
      <c r="E11" s="89"/>
      <c r="F11" s="90"/>
      <c r="G11" s="89"/>
      <c r="I11" s="89"/>
      <c r="J11" s="89"/>
      <c r="K11" s="89"/>
    </row>
    <row r="12" spans="1:11" ht="18" customHeight="1">
      <c r="A12" s="93" t="s">
        <v>167</v>
      </c>
      <c r="B12" s="94"/>
      <c r="C12" s="89"/>
      <c r="D12" s="90"/>
      <c r="E12" s="89"/>
      <c r="F12" s="90"/>
      <c r="G12" s="89"/>
      <c r="H12" s="86" t="e">
        <f>E12/#REF!</f>
        <v>#REF!</v>
      </c>
      <c r="I12" s="89"/>
      <c r="J12" s="89"/>
      <c r="K12" s="89"/>
    </row>
    <row r="13" spans="1:11" ht="18" customHeight="1">
      <c r="A13" s="37" t="s">
        <v>168</v>
      </c>
      <c r="B13" s="3"/>
      <c r="C13" s="89">
        <v>5081</v>
      </c>
      <c r="D13" s="90"/>
      <c r="E13" s="89"/>
      <c r="F13" s="90"/>
      <c r="G13" s="89">
        <f t="shared" ref="G13:G14" si="0">+C13*75%</f>
        <v>3810.75</v>
      </c>
      <c r="I13" s="122">
        <v>3025</v>
      </c>
      <c r="J13" s="89">
        <f t="shared" ref="J13:J14" si="1">I13*85%</f>
        <v>2571.25</v>
      </c>
      <c r="K13" s="122">
        <v>0</v>
      </c>
    </row>
    <row r="14" spans="1:11" ht="18" customHeight="1">
      <c r="A14" s="37" t="s">
        <v>169</v>
      </c>
      <c r="B14" s="3"/>
      <c r="C14" s="89">
        <v>1510</v>
      </c>
      <c r="D14" s="90"/>
      <c r="E14" s="89"/>
      <c r="F14" s="90"/>
      <c r="G14" s="89">
        <f t="shared" si="0"/>
        <v>1132.5</v>
      </c>
      <c r="I14" s="122">
        <v>2102</v>
      </c>
      <c r="J14" s="89">
        <f t="shared" si="1"/>
        <v>1786.7</v>
      </c>
      <c r="K14" s="122">
        <v>0</v>
      </c>
    </row>
    <row r="15" spans="1:11" ht="18" customHeight="1">
      <c r="A15" s="91" t="s">
        <v>170</v>
      </c>
      <c r="B15" s="3"/>
      <c r="C15" s="92">
        <f>SUM(C13:C14)</f>
        <v>6591</v>
      </c>
      <c r="D15" s="92"/>
      <c r="E15" s="92"/>
      <c r="F15" s="92"/>
      <c r="G15" s="92">
        <f>SUM(G13:G14)</f>
        <v>4943.25</v>
      </c>
      <c r="I15" s="92">
        <f>SUM(I13:I14)</f>
        <v>5127</v>
      </c>
      <c r="J15" s="92">
        <f>SUM(J13:J14)</f>
        <v>4357.95</v>
      </c>
      <c r="K15" s="92">
        <f>SUM(K13:K14)</f>
        <v>0</v>
      </c>
    </row>
    <row r="16" spans="1:11" ht="18" customHeight="1">
      <c r="A16" s="37"/>
      <c r="B16" s="3"/>
      <c r="C16" s="89"/>
      <c r="D16" s="90"/>
      <c r="E16" s="89"/>
      <c r="F16" s="90"/>
      <c r="G16" s="89"/>
      <c r="I16" s="89"/>
      <c r="J16" s="89"/>
      <c r="K16" s="89"/>
    </row>
    <row r="17" spans="1:11" ht="18" customHeight="1">
      <c r="A17" s="42" t="s">
        <v>171</v>
      </c>
      <c r="B17" s="3"/>
      <c r="C17" s="89"/>
      <c r="D17" s="90"/>
      <c r="E17" s="89"/>
      <c r="F17" s="90"/>
      <c r="G17" s="89"/>
      <c r="H17" s="86" t="e">
        <f>E17/#REF!</f>
        <v>#REF!</v>
      </c>
      <c r="I17" s="89"/>
      <c r="J17" s="89"/>
      <c r="K17" s="89"/>
    </row>
    <row r="18" spans="1:11" ht="18" customHeight="1">
      <c r="A18" s="37" t="s">
        <v>168</v>
      </c>
      <c r="B18" s="3"/>
      <c r="C18" s="89">
        <v>3579</v>
      </c>
      <c r="D18" s="90"/>
      <c r="E18" s="89"/>
      <c r="F18" s="90"/>
      <c r="G18" s="89">
        <f t="shared" ref="G18:G19" si="2">+C18*75%</f>
        <v>2684.25</v>
      </c>
      <c r="I18" s="122">
        <v>2406</v>
      </c>
      <c r="J18" s="89">
        <f t="shared" ref="J18:J19" si="3">I18*85%</f>
        <v>2045.1</v>
      </c>
      <c r="K18" s="122">
        <v>0</v>
      </c>
    </row>
    <row r="19" spans="1:11" ht="18" customHeight="1">
      <c r="A19" s="37" t="s">
        <v>169</v>
      </c>
      <c r="B19" s="3"/>
      <c r="C19" s="89">
        <v>2102</v>
      </c>
      <c r="D19" s="90"/>
      <c r="E19" s="89"/>
      <c r="F19" s="90"/>
      <c r="G19" s="89">
        <f t="shared" si="2"/>
        <v>1576.5</v>
      </c>
      <c r="I19" s="122">
        <v>2133</v>
      </c>
      <c r="J19" s="89">
        <f t="shared" si="3"/>
        <v>1813.05</v>
      </c>
      <c r="K19" s="122">
        <v>0</v>
      </c>
    </row>
    <row r="20" spans="1:11" ht="18" customHeight="1">
      <c r="A20" s="2" t="s">
        <v>172</v>
      </c>
      <c r="B20" s="2"/>
      <c r="C20" s="95">
        <f>SUM(C18:C19)</f>
        <v>5681</v>
      </c>
      <c r="D20" s="96"/>
      <c r="E20" s="96"/>
      <c r="F20" s="96"/>
      <c r="G20" s="92">
        <f>SUM(G18:G19)</f>
        <v>4260.75</v>
      </c>
      <c r="I20" s="92">
        <f>SUM(I18:I19)</f>
        <v>4539</v>
      </c>
      <c r="J20" s="92">
        <f>SUM(J18:J19)</f>
        <v>3858.1499999999996</v>
      </c>
      <c r="K20" s="92">
        <f>SUM(K18:K19)</f>
        <v>0</v>
      </c>
    </row>
    <row r="21" spans="1:11">
      <c r="C21" s="97"/>
      <c r="D21" s="98"/>
      <c r="E21" s="97"/>
      <c r="F21" s="98"/>
      <c r="G21" s="97"/>
      <c r="I21" s="97"/>
      <c r="J21" s="97"/>
      <c r="K21" s="97"/>
    </row>
    <row r="22" spans="1:11">
      <c r="C22" s="97"/>
      <c r="D22" s="98"/>
      <c r="E22" s="97"/>
      <c r="F22" s="98"/>
      <c r="G22" s="97"/>
      <c r="I22" s="97"/>
      <c r="J22" s="97"/>
      <c r="K22" s="97"/>
    </row>
    <row r="23" spans="1:11">
      <c r="C23" s="97"/>
      <c r="D23" s="98"/>
      <c r="E23" s="97"/>
      <c r="F23" s="98"/>
      <c r="G23" s="97"/>
      <c r="I23" s="97"/>
      <c r="J23" s="97"/>
      <c r="K23" s="97"/>
    </row>
    <row r="24" spans="1:11">
      <c r="C24" s="97"/>
      <c r="D24" s="98"/>
      <c r="E24" s="97"/>
      <c r="F24" s="98"/>
      <c r="G24" s="97"/>
      <c r="I24" s="97"/>
      <c r="J24" s="97"/>
      <c r="K24" s="97"/>
    </row>
    <row r="25" spans="1:11">
      <c r="C25" s="97"/>
      <c r="D25" s="98"/>
      <c r="E25" s="97"/>
      <c r="F25" s="98"/>
      <c r="G25" s="97"/>
      <c r="I25" s="97"/>
      <c r="J25" s="97"/>
      <c r="K25" s="97"/>
    </row>
    <row r="26" spans="1:11">
      <c r="C26" s="97"/>
      <c r="D26" s="98"/>
      <c r="E26" s="97"/>
      <c r="F26" s="98"/>
      <c r="G26" s="97"/>
      <c r="I26" s="97"/>
      <c r="J26" s="97"/>
      <c r="K26" s="97"/>
    </row>
    <row r="27" spans="1:11">
      <c r="C27" s="97"/>
      <c r="D27" s="98"/>
      <c r="E27" s="97"/>
      <c r="F27" s="98"/>
      <c r="G27" s="97"/>
      <c r="I27" s="97"/>
      <c r="J27" s="97"/>
      <c r="K27" s="97"/>
    </row>
    <row r="28" spans="1:11">
      <c r="C28" s="97"/>
      <c r="D28" s="98"/>
      <c r="E28" s="97"/>
      <c r="F28" s="98"/>
      <c r="G28" s="97"/>
      <c r="I28" s="97"/>
      <c r="J28" s="97"/>
      <c r="K28" s="97"/>
    </row>
    <row r="29" spans="1:11">
      <c r="C29" s="97"/>
      <c r="D29" s="98"/>
      <c r="E29" s="97"/>
      <c r="F29" s="98"/>
      <c r="G29" s="97"/>
      <c r="I29" s="97"/>
      <c r="J29" s="97"/>
      <c r="K29" s="97"/>
    </row>
  </sheetData>
  <mergeCells count="4">
    <mergeCell ref="A1:K1"/>
    <mergeCell ref="A2:K2"/>
    <mergeCell ref="A3:K3"/>
    <mergeCell ref="C6:K6"/>
  </mergeCells>
  <printOptions horizontalCentered="1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zoomScaleNormal="100" workbookViewId="0">
      <selection activeCell="L10" sqref="L10"/>
    </sheetView>
  </sheetViews>
  <sheetFormatPr defaultRowHeight="14.25"/>
  <cols>
    <col min="1" max="1" width="30.140625" bestFit="1" customWidth="1"/>
    <col min="2" max="2" width="2.7109375" customWidth="1"/>
    <col min="3" max="3" width="8.42578125" bestFit="1" customWidth="1"/>
    <col min="4" max="4" width="2.7109375" customWidth="1"/>
    <col min="6" max="6" width="2.7109375" customWidth="1"/>
    <col min="8" max="8" width="0" style="86" hidden="1" customWidth="1"/>
  </cols>
  <sheetData>
    <row r="1" spans="1:8">
      <c r="A1" s="186" t="s">
        <v>96</v>
      </c>
      <c r="B1" s="186"/>
      <c r="C1" s="186"/>
      <c r="D1" s="186"/>
      <c r="E1" s="186"/>
      <c r="F1" s="186"/>
      <c r="G1" s="186"/>
    </row>
    <row r="2" spans="1:8">
      <c r="A2" s="186" t="s">
        <v>173</v>
      </c>
      <c r="B2" s="186"/>
      <c r="C2" s="186"/>
      <c r="D2" s="186"/>
      <c r="E2" s="186"/>
      <c r="F2" s="186"/>
      <c r="G2" s="186"/>
    </row>
    <row r="3" spans="1:8">
      <c r="A3" s="186" t="s">
        <v>174</v>
      </c>
      <c r="B3" s="186"/>
      <c r="C3" s="186"/>
      <c r="D3" s="186"/>
      <c r="E3" s="186"/>
      <c r="F3" s="186"/>
      <c r="G3" s="186"/>
    </row>
    <row r="7" spans="1:8">
      <c r="C7" s="189" t="s">
        <v>159</v>
      </c>
      <c r="D7" s="189"/>
      <c r="E7" s="189"/>
      <c r="F7" s="189"/>
      <c r="G7" s="189"/>
    </row>
    <row r="8" spans="1:8">
      <c r="C8" s="87" t="s">
        <v>65</v>
      </c>
      <c r="D8" s="87"/>
      <c r="E8" s="87" t="s">
        <v>168</v>
      </c>
      <c r="F8" s="87"/>
      <c r="G8" s="87" t="s">
        <v>169</v>
      </c>
    </row>
    <row r="9" spans="1:8">
      <c r="A9" s="34" t="s">
        <v>99</v>
      </c>
      <c r="B9" s="34"/>
      <c r="C9" s="97"/>
      <c r="D9" s="98"/>
      <c r="E9" s="97"/>
      <c r="F9" s="98"/>
      <c r="G9" s="97"/>
    </row>
    <row r="10" spans="1:8" ht="18" customHeight="1">
      <c r="A10" s="3" t="s">
        <v>104</v>
      </c>
      <c r="B10" s="3"/>
      <c r="C10" s="99">
        <v>15</v>
      </c>
      <c r="D10" s="98"/>
      <c r="E10" s="99">
        <v>21.15</v>
      </c>
      <c r="F10" s="98"/>
      <c r="G10" s="99">
        <v>11.15</v>
      </c>
      <c r="H10" s="86">
        <f>E10/E19</f>
        <v>0.2931392931392931</v>
      </c>
    </row>
    <row r="11" spans="1:8" ht="18" customHeight="1">
      <c r="A11" s="3" t="s">
        <v>105</v>
      </c>
      <c r="B11" s="3"/>
      <c r="C11" s="97"/>
      <c r="D11" s="98"/>
      <c r="E11" s="97">
        <v>23</v>
      </c>
      <c r="F11" s="98"/>
      <c r="G11" s="97">
        <v>16</v>
      </c>
      <c r="H11" s="86">
        <f>E11/E19</f>
        <v>0.31878031878031876</v>
      </c>
    </row>
    <row r="12" spans="1:8" ht="18" customHeight="1">
      <c r="A12" s="94" t="s">
        <v>106</v>
      </c>
      <c r="B12" s="94"/>
      <c r="C12" s="97"/>
      <c r="D12" s="98"/>
      <c r="E12" s="97">
        <v>5</v>
      </c>
      <c r="F12" s="98"/>
      <c r="G12" s="97">
        <v>5</v>
      </c>
      <c r="H12" s="86">
        <f>E12/E19</f>
        <v>6.9300069300069295E-2</v>
      </c>
    </row>
    <row r="13" spans="1:8" ht="18" customHeight="1">
      <c r="A13" s="3" t="s">
        <v>107</v>
      </c>
      <c r="B13" s="3"/>
      <c r="C13" s="100"/>
      <c r="D13" s="101"/>
      <c r="E13" s="100">
        <v>4</v>
      </c>
      <c r="F13" s="101"/>
      <c r="G13" s="100">
        <v>3</v>
      </c>
      <c r="H13" s="86">
        <f>E13/E19</f>
        <v>5.5440055440055439E-2</v>
      </c>
    </row>
    <row r="14" spans="1:8" ht="18" customHeight="1">
      <c r="A14" s="94" t="s">
        <v>108</v>
      </c>
      <c r="B14" s="94"/>
      <c r="C14" s="97"/>
      <c r="D14" s="98"/>
      <c r="E14" s="97">
        <v>3</v>
      </c>
      <c r="F14" s="98"/>
      <c r="G14" s="97">
        <v>3</v>
      </c>
      <c r="H14" s="86">
        <f>E14/E19</f>
        <v>4.1580041580041575E-2</v>
      </c>
    </row>
    <row r="15" spans="1:8" ht="18" customHeight="1">
      <c r="A15" s="94" t="s">
        <v>109</v>
      </c>
      <c r="B15" s="94"/>
      <c r="C15" s="97"/>
      <c r="D15" s="98"/>
      <c r="E15" s="97">
        <v>4</v>
      </c>
      <c r="F15" s="98"/>
      <c r="G15" s="97">
        <v>4</v>
      </c>
      <c r="H15" s="86">
        <f>E15/E19</f>
        <v>5.5440055440055439E-2</v>
      </c>
    </row>
    <row r="16" spans="1:8" ht="18" customHeight="1">
      <c r="A16" s="94" t="s">
        <v>110</v>
      </c>
      <c r="B16" s="94"/>
      <c r="C16" s="97"/>
      <c r="D16" s="98"/>
      <c r="E16" s="97">
        <v>2</v>
      </c>
      <c r="F16" s="98"/>
      <c r="G16" s="97">
        <v>2</v>
      </c>
      <c r="H16" s="86">
        <f>E16/E19</f>
        <v>2.7720027720027719E-2</v>
      </c>
    </row>
    <row r="17" spans="1:8" ht="18" customHeight="1">
      <c r="A17" s="3" t="s">
        <v>111</v>
      </c>
      <c r="B17" s="3"/>
      <c r="C17" s="97"/>
      <c r="D17" s="98"/>
      <c r="E17" s="97">
        <v>6</v>
      </c>
      <c r="F17" s="98"/>
      <c r="G17" s="97">
        <v>6</v>
      </c>
      <c r="H17" s="86">
        <f>E17/E19</f>
        <v>8.3160083160083151E-2</v>
      </c>
    </row>
    <row r="18" spans="1:8" ht="18" customHeight="1">
      <c r="A18" s="94" t="s">
        <v>112</v>
      </c>
      <c r="B18" s="94"/>
      <c r="C18" s="97"/>
      <c r="D18" s="98"/>
      <c r="E18" s="97">
        <v>4</v>
      </c>
      <c r="F18" s="98"/>
      <c r="G18" s="97">
        <v>2</v>
      </c>
      <c r="H18" s="86">
        <f>E18/E19</f>
        <v>5.5440055440055439E-2</v>
      </c>
    </row>
    <row r="19" spans="1:8" ht="18" customHeight="1">
      <c r="A19" s="84" t="s">
        <v>113</v>
      </c>
      <c r="B19" s="84"/>
      <c r="C19" s="102">
        <f>SUM(C10:C18)</f>
        <v>15</v>
      </c>
      <c r="D19" s="98"/>
      <c r="E19" s="102">
        <f>SUM(E10:E18)</f>
        <v>72.150000000000006</v>
      </c>
      <c r="F19" s="98"/>
      <c r="G19" s="102">
        <f>SUM(G10:G18)</f>
        <v>52.15</v>
      </c>
      <c r="H19" s="86">
        <f>SUM(H10:H18)</f>
        <v>1</v>
      </c>
    </row>
    <row r="20" spans="1:8" ht="18" customHeight="1">
      <c r="A20" s="84" t="s">
        <v>175</v>
      </c>
      <c r="B20" s="84"/>
      <c r="C20" s="97">
        <v>1.45</v>
      </c>
      <c r="D20" s="98"/>
      <c r="E20" s="97">
        <v>1.45</v>
      </c>
      <c r="F20" s="98"/>
      <c r="G20" s="97">
        <v>1.45</v>
      </c>
    </row>
    <row r="21" spans="1:8" ht="18" customHeight="1">
      <c r="A21" s="84" t="s">
        <v>176</v>
      </c>
      <c r="B21" s="2"/>
      <c r="C21" s="103">
        <f>SUM(C19:C20)</f>
        <v>16.45</v>
      </c>
      <c r="D21" s="98"/>
      <c r="E21" s="103">
        <f>SUM(E19:E20)</f>
        <v>73.600000000000009</v>
      </c>
      <c r="F21" s="98"/>
      <c r="G21" s="103">
        <f>SUM(G19:G20)</f>
        <v>53.6</v>
      </c>
    </row>
    <row r="22" spans="1:8">
      <c r="A22" s="2"/>
      <c r="B22" s="2"/>
      <c r="C22" s="97"/>
      <c r="D22" s="98"/>
      <c r="E22" s="97"/>
      <c r="F22" s="98"/>
      <c r="G22" s="97"/>
    </row>
    <row r="23" spans="1:8">
      <c r="C23" s="97"/>
      <c r="D23" s="98"/>
      <c r="E23" s="97"/>
      <c r="F23" s="98"/>
      <c r="G23" s="97"/>
    </row>
    <row r="24" spans="1:8">
      <c r="C24" s="97"/>
      <c r="D24" s="98"/>
      <c r="E24" s="97"/>
      <c r="F24" s="98"/>
      <c r="G24" s="97"/>
    </row>
    <row r="25" spans="1:8">
      <c r="C25" s="97"/>
      <c r="D25" s="98"/>
      <c r="E25" s="97"/>
      <c r="F25" s="98"/>
      <c r="G25" s="97"/>
    </row>
    <row r="26" spans="1:8">
      <c r="C26" s="97"/>
      <c r="D26" s="98"/>
      <c r="E26" s="97"/>
      <c r="F26" s="98"/>
      <c r="G26" s="97"/>
    </row>
    <row r="27" spans="1:8">
      <c r="C27" s="97"/>
      <c r="D27" s="98"/>
      <c r="E27" s="97"/>
      <c r="F27" s="98"/>
      <c r="G27" s="97"/>
    </row>
    <row r="28" spans="1:8">
      <c r="C28" s="97"/>
      <c r="D28" s="98"/>
      <c r="E28" s="97"/>
      <c r="F28" s="98"/>
      <c r="G28" s="97"/>
    </row>
    <row r="29" spans="1:8">
      <c r="C29" s="97"/>
      <c r="D29" s="98"/>
      <c r="E29" s="97"/>
      <c r="F29" s="98"/>
      <c r="G29" s="97"/>
    </row>
    <row r="30" spans="1:8">
      <c r="C30" s="97"/>
      <c r="D30" s="98"/>
      <c r="E30" s="97"/>
      <c r="F30" s="98"/>
      <c r="G30" s="97"/>
    </row>
    <row r="31" spans="1:8">
      <c r="C31" s="97"/>
      <c r="D31" s="98"/>
      <c r="E31" s="97"/>
      <c r="F31" s="98"/>
      <c r="G31" s="97"/>
    </row>
  </sheetData>
  <mergeCells count="4">
    <mergeCell ref="A1:G1"/>
    <mergeCell ref="A2:G2"/>
    <mergeCell ref="A3:G3"/>
    <mergeCell ref="C7:G7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a34f2d-e7e4-41e6-a269-40b67c6aa6d3" xsi:nil="true"/>
    <lcf76f155ced4ddcb4097134ff3c332f xmlns="7a43aca7-434e-402a-a753-829e22f67f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DD55D201A6F4E9110D1CBAFBC8A7D" ma:contentTypeVersion="12" ma:contentTypeDescription="Create a new document." ma:contentTypeScope="" ma:versionID="4e95981c9dd8a2c7409f376e1816815d">
  <xsd:schema xmlns:xsd="http://www.w3.org/2001/XMLSchema" xmlns:xs="http://www.w3.org/2001/XMLSchema" xmlns:p="http://schemas.microsoft.com/office/2006/metadata/properties" xmlns:ns2="7a43aca7-434e-402a-a753-829e22f67fe1" xmlns:ns3="61a34f2d-e7e4-41e6-a269-40b67c6aa6d3" targetNamespace="http://schemas.microsoft.com/office/2006/metadata/properties" ma:root="true" ma:fieldsID="db8a6483a6a776017532306d5ea5f206" ns2:_="" ns3:_="">
    <xsd:import namespace="7a43aca7-434e-402a-a753-829e22f67fe1"/>
    <xsd:import namespace="61a34f2d-e7e4-41e6-a269-40b67c6aa6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3aca7-434e-402a-a753-829e22f67f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2597c87-0a2f-4bcb-98aa-a355c72904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34f2d-e7e4-41e6-a269-40b67c6aa6d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3f9351-040b-48a4-851e-44abeb23ab7f}" ma:internalName="TaxCatchAll" ma:showField="CatchAllData" ma:web="61a34f2d-e7e4-41e6-a269-40b67c6aa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1A1D0-48B4-47D2-8794-1CFE32673C73}"/>
</file>

<file path=customXml/itemProps2.xml><?xml version="1.0" encoding="utf-8"?>
<ds:datastoreItem xmlns:ds="http://schemas.openxmlformats.org/officeDocument/2006/customXml" ds:itemID="{3187CB6D-1129-4842-8EDD-85D489E4F29C}"/>
</file>

<file path=customXml/itemProps3.xml><?xml version="1.0" encoding="utf-8"?>
<ds:datastoreItem xmlns:ds="http://schemas.openxmlformats.org/officeDocument/2006/customXml" ds:itemID="{328CB11B-7750-4672-8473-CEBDB55FEC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York College CUNY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Delacruz</dc:creator>
  <cp:keywords/>
  <dc:description/>
  <cp:lastModifiedBy>Katherine Catinac-Vaquero</cp:lastModifiedBy>
  <cp:revision/>
  <dcterms:created xsi:type="dcterms:W3CDTF">2017-07-17T17:38:54Z</dcterms:created>
  <dcterms:modified xsi:type="dcterms:W3CDTF">2023-09-20T00:29:54Z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0x01010051EDD55D201A6F4E9110D1CBAFBC8A7D</vt:lpwstr>
  </property>
  <property fmtid="{D5CDD505-2E9C-101B-9397-08002B2CF9AE}" pid="3" name="MediaServiceImageTags">
    <vt:lpwstr/>
  </property>
</Properties>
</file>