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 hidePivotFieldList="1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Desktop\"/>
    </mc:Choice>
  </mc:AlternateContent>
  <xr:revisionPtr revIDLastSave="1" documentId="8_{2054BA07-F632-41A1-B466-0E00711BE369}" xr6:coauthVersionLast="47" xr6:coauthVersionMax="47" xr10:uidLastSave="{72B0AD2A-DBEA-4EB0-AB07-761C84D9A961}"/>
  <bookViews>
    <workbookView xWindow="-120" yWindow="-120" windowWidth="29040" windowHeight="15720" tabRatio="825" firstSheet="1" activeTab="1" xr2:uid="{00000000-000D-0000-FFFF-FFFF00000000}"/>
  </bookViews>
  <sheets>
    <sheet name="PVT" sheetId="36" r:id="rId1"/>
    <sheet name="Allocation " sheetId="9" r:id="rId2"/>
    <sheet name="Budget Committee" sheetId="26" r:id="rId3"/>
    <sheet name="Athletics" sheetId="27" r:id="rId4"/>
    <sheet name="Child Ctr" sheetId="29" r:id="rId5"/>
    <sheet name="Study Away" sheetId="30" r:id="rId6"/>
    <sheet name="Game Room" sheetId="31" r:id="rId7"/>
    <sheet name="Radio Station" sheetId="32" r:id="rId8"/>
    <sheet name="A.P.A.F." sheetId="33" r:id="rId9"/>
    <sheet name="Stdt Club" sheetId="34" r:id="rId10"/>
    <sheet name="Stdt Govt" sheetId="28" r:id="rId11"/>
    <sheet name="Pandora's Box" sheetId="35" r:id="rId12"/>
    <sheet name="Administrative Fee" sheetId="25" r:id="rId13"/>
    <sheet name="Referendums" sheetId="22" r:id="rId14"/>
    <sheet name="Enrollment" sheetId="23" r:id="rId15"/>
    <sheet name="Fee Breakdown" sheetId="24" r:id="rId16"/>
  </sheets>
  <definedNames>
    <definedName name="_xlnm.Print_Area" localSheetId="1">'Allocation '!$A$1:$U$73</definedName>
    <definedName name="_xlnm.Print_Area" localSheetId="3">Athletics!$A$1:$N$43</definedName>
  </definedNames>
  <calcPr calcId="191028"/>
  <pivotCaches>
    <pivotCache cacheId="1513" r:id="rId1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9" l="1"/>
  <c r="F20" i="9"/>
  <c r="D107" i="22"/>
  <c r="D106" i="22"/>
  <c r="D103" i="22"/>
  <c r="D102" i="22"/>
  <c r="D95" i="22"/>
  <c r="D94" i="22"/>
  <c r="D91" i="22"/>
  <c r="D90" i="22"/>
  <c r="D84" i="22"/>
  <c r="D83" i="22"/>
  <c r="D80" i="22"/>
  <c r="D79" i="22"/>
  <c r="D73" i="22"/>
  <c r="D72" i="22"/>
  <c r="D69" i="22"/>
  <c r="D68" i="22"/>
  <c r="D62" i="22"/>
  <c r="D61" i="22"/>
  <c r="D58" i="22"/>
  <c r="D57" i="22"/>
  <c r="D50" i="22"/>
  <c r="D49" i="22"/>
  <c r="D46" i="22"/>
  <c r="D45" i="22"/>
  <c r="D38" i="22"/>
  <c r="D37" i="22"/>
  <c r="D34" i="22"/>
  <c r="D33" i="22"/>
  <c r="D27" i="22"/>
  <c r="D26" i="22"/>
  <c r="D23" i="22"/>
  <c r="D22" i="22"/>
  <c r="D16" i="22"/>
  <c r="D15" i="22"/>
  <c r="D12" i="22"/>
  <c r="D11" i="22"/>
  <c r="D9" i="22"/>
  <c r="Y55" i="9" l="1"/>
  <c r="F55" i="9"/>
  <c r="F54" i="9"/>
  <c r="F51" i="9"/>
  <c r="J51" i="9" s="1"/>
  <c r="I28" i="26"/>
  <c r="L51" i="9" l="1"/>
  <c r="U51" i="9" s="1"/>
  <c r="X51" i="9" s="1"/>
  <c r="H47" i="9"/>
  <c r="J47" i="9" s="1"/>
  <c r="G30" i="26"/>
  <c r="G31" i="26"/>
  <c r="G28" i="26"/>
  <c r="D20" i="34"/>
  <c r="H17" i="28"/>
  <c r="M17" i="28" s="1"/>
  <c r="H18" i="28"/>
  <c r="M18" i="28" s="1"/>
  <c r="H33" i="28"/>
  <c r="J22" i="32"/>
  <c r="J32" i="26"/>
  <c r="K20" i="28"/>
  <c r="I34" i="26"/>
  <c r="J29" i="26"/>
  <c r="J28" i="26"/>
  <c r="J20" i="28"/>
  <c r="K35" i="28"/>
  <c r="J14" i="34"/>
  <c r="J30" i="28"/>
  <c r="K28" i="28"/>
  <c r="I26" i="26"/>
  <c r="J34" i="26"/>
  <c r="J26" i="28"/>
  <c r="K23" i="28"/>
  <c r="I30" i="26"/>
  <c r="J35" i="28"/>
  <c r="K13" i="34"/>
  <c r="K34" i="28"/>
  <c r="J27" i="26"/>
  <c r="K16" i="34"/>
  <c r="K31" i="28"/>
  <c r="K30" i="28"/>
  <c r="I25" i="26"/>
  <c r="J33" i="26"/>
  <c r="J28" i="28"/>
  <c r="K26" i="28"/>
  <c r="J32" i="28"/>
  <c r="J21" i="26"/>
  <c r="J23" i="28"/>
  <c r="J25" i="26"/>
  <c r="J33" i="28"/>
  <c r="I42" i="26"/>
  <c r="Y49" i="9" l="1"/>
  <c r="Y44" i="9"/>
  <c r="Y54" i="9"/>
  <c r="Y48" i="9"/>
  <c r="Y51" i="9"/>
  <c r="Z51" i="9"/>
  <c r="V51" i="9"/>
  <c r="L47" i="9"/>
  <c r="U47" i="9" s="1"/>
  <c r="X47" i="9" s="1"/>
  <c r="L30" i="26"/>
  <c r="L31" i="26"/>
  <c r="M33" i="28"/>
  <c r="Y45" i="9"/>
  <c r="H32" i="28"/>
  <c r="M32" i="28" s="1"/>
  <c r="Y50" i="9"/>
  <c r="Y60" i="9"/>
  <c r="V47" i="9" l="1"/>
  <c r="Y43" i="9"/>
  <c r="Y46" i="9"/>
  <c r="K22" i="32"/>
  <c r="W62" i="9" l="1"/>
  <c r="F36" i="28" l="1"/>
  <c r="J36" i="28"/>
  <c r="K36" i="28"/>
  <c r="H30" i="28"/>
  <c r="M30" i="28" s="1"/>
  <c r="H31" i="28"/>
  <c r="M31" i="28" s="1"/>
  <c r="H34" i="28"/>
  <c r="M34" i="28" s="1"/>
  <c r="H35" i="28"/>
  <c r="M35" i="28" s="1"/>
  <c r="H33" i="27"/>
  <c r="K20" i="34"/>
  <c r="H19" i="34"/>
  <c r="M19" i="34" s="1"/>
  <c r="H18" i="34"/>
  <c r="M18" i="34" s="1"/>
  <c r="J20" i="34"/>
  <c r="Y27" i="9" s="1"/>
  <c r="H17" i="34"/>
  <c r="M17" i="34" s="1"/>
  <c r="H16" i="34"/>
  <c r="M16" i="34" s="1"/>
  <c r="G12" i="30"/>
  <c r="M12" i="30" s="1"/>
  <c r="H39" i="27"/>
  <c r="M39" i="27" s="1"/>
  <c r="Y26" i="9" l="1"/>
  <c r="G7" i="35"/>
  <c r="E8" i="35"/>
  <c r="C8" i="35"/>
  <c r="F7" i="28"/>
  <c r="F9" i="34"/>
  <c r="H9" i="34" s="1"/>
  <c r="G9" i="32"/>
  <c r="M9" i="32" s="1"/>
  <c r="G13" i="31"/>
  <c r="G12" i="29"/>
  <c r="K12" i="29" s="1"/>
  <c r="G11" i="29"/>
  <c r="K11" i="29" s="1"/>
  <c r="K13" i="29" s="1"/>
  <c r="J19" i="35"/>
  <c r="I19" i="35"/>
  <c r="E19" i="35"/>
  <c r="C19" i="35"/>
  <c r="C20" i="35" s="1"/>
  <c r="G18" i="35"/>
  <c r="L18" i="35" s="1"/>
  <c r="G17" i="35"/>
  <c r="L17" i="35" s="1"/>
  <c r="G16" i="35"/>
  <c r="L16" i="35" s="1"/>
  <c r="G15" i="35"/>
  <c r="L15" i="35" s="1"/>
  <c r="G14" i="35"/>
  <c r="L14" i="35" s="1"/>
  <c r="G13" i="35"/>
  <c r="L13" i="35" s="1"/>
  <c r="G12" i="35"/>
  <c r="L12" i="35" s="1"/>
  <c r="G11" i="35"/>
  <c r="L11" i="35" s="1"/>
  <c r="G10" i="35"/>
  <c r="G8" i="35"/>
  <c r="F20" i="34"/>
  <c r="H15" i="34"/>
  <c r="M15" i="34" s="1"/>
  <c r="H14" i="34"/>
  <c r="M14" i="34" s="1"/>
  <c r="H13" i="34"/>
  <c r="M13" i="34" s="1"/>
  <c r="H12" i="34"/>
  <c r="J16" i="33"/>
  <c r="J17" i="33" s="1"/>
  <c r="Y25" i="9" s="1"/>
  <c r="F16" i="33"/>
  <c r="F17" i="33" s="1"/>
  <c r="D16" i="33"/>
  <c r="D17" i="33" s="1"/>
  <c r="H15" i="33"/>
  <c r="L15" i="33" s="1"/>
  <c r="H14" i="33"/>
  <c r="L14" i="33" s="1"/>
  <c r="H13" i="33"/>
  <c r="L13" i="33" s="1"/>
  <c r="L16" i="33" s="1"/>
  <c r="H11" i="33"/>
  <c r="E29" i="32"/>
  <c r="Y24" i="9"/>
  <c r="I22" i="32"/>
  <c r="E22" i="32"/>
  <c r="C22" i="32"/>
  <c r="G21" i="32"/>
  <c r="M21" i="32" s="1"/>
  <c r="G20" i="32"/>
  <c r="M20" i="32" s="1"/>
  <c r="G19" i="32"/>
  <c r="M19" i="32" s="1"/>
  <c r="G18" i="32"/>
  <c r="M18" i="32" s="1"/>
  <c r="G17" i="32"/>
  <c r="M17" i="32" s="1"/>
  <c r="G16" i="32"/>
  <c r="M16" i="32" s="1"/>
  <c r="G15" i="32"/>
  <c r="M15" i="32" s="1"/>
  <c r="G14" i="32"/>
  <c r="M14" i="32" s="1"/>
  <c r="G13" i="32"/>
  <c r="M13" i="32" s="1"/>
  <c r="G12" i="32"/>
  <c r="I10" i="32"/>
  <c r="J20" i="31"/>
  <c r="I20" i="31"/>
  <c r="E20" i="31"/>
  <c r="C20" i="31"/>
  <c r="G19" i="31"/>
  <c r="L19" i="31" s="1"/>
  <c r="G18" i="31"/>
  <c r="L18" i="31" s="1"/>
  <c r="G17" i="31"/>
  <c r="L17" i="31" s="1"/>
  <c r="G16" i="31"/>
  <c r="L16" i="31" s="1"/>
  <c r="G15" i="31"/>
  <c r="L15" i="31" s="1"/>
  <c r="G14" i="31"/>
  <c r="L14" i="31" s="1"/>
  <c r="L13" i="31"/>
  <c r="I11" i="31"/>
  <c r="G10" i="31"/>
  <c r="L10" i="31" s="1"/>
  <c r="K14" i="30"/>
  <c r="I14" i="30"/>
  <c r="E14" i="30"/>
  <c r="C14" i="30"/>
  <c r="G13" i="30"/>
  <c r="M13" i="30" s="1"/>
  <c r="G11" i="30"/>
  <c r="G14" i="30" s="1"/>
  <c r="I13" i="29"/>
  <c r="E13" i="29"/>
  <c r="C13" i="29"/>
  <c r="O61" i="9" l="1"/>
  <c r="O29" i="9"/>
  <c r="L20" i="31"/>
  <c r="G19" i="35"/>
  <c r="L19" i="35" s="1"/>
  <c r="L10" i="35"/>
  <c r="H20" i="34"/>
  <c r="T27" i="9" s="1"/>
  <c r="M9" i="34"/>
  <c r="G22" i="32"/>
  <c r="Q24" i="9" s="1"/>
  <c r="G13" i="29"/>
  <c r="E9" i="29"/>
  <c r="H17" i="33"/>
  <c r="R25" i="9" s="1"/>
  <c r="G20" i="35"/>
  <c r="M11" i="30"/>
  <c r="M14" i="30" s="1"/>
  <c r="E10" i="32"/>
  <c r="L11" i="33"/>
  <c r="L17" i="33" s="1"/>
  <c r="M12" i="34"/>
  <c r="M20" i="34" s="1"/>
  <c r="M12" i="32"/>
  <c r="M22" i="32" s="1"/>
  <c r="F9" i="33"/>
  <c r="E11" i="31"/>
  <c r="H16" i="33"/>
  <c r="G20" i="31"/>
  <c r="N61" i="9" l="1"/>
  <c r="N28" i="9"/>
  <c r="P61" i="9"/>
  <c r="P30" i="9"/>
  <c r="R61" i="9"/>
  <c r="E9" i="30"/>
  <c r="Y15" i="9" l="1"/>
  <c r="Y14" i="9"/>
  <c r="Y11" i="9"/>
  <c r="Y10" i="9"/>
  <c r="Y6" i="9"/>
  <c r="Y7" i="9" s="1"/>
  <c r="F60" i="9"/>
  <c r="F56" i="9"/>
  <c r="F50" i="9"/>
  <c r="F49" i="9"/>
  <c r="H48" i="9"/>
  <c r="H46" i="9"/>
  <c r="H45" i="9"/>
  <c r="H44" i="9"/>
  <c r="H62" i="9" s="1"/>
  <c r="F43" i="9"/>
  <c r="F36" i="9"/>
  <c r="F37" i="9"/>
  <c r="F38" i="9"/>
  <c r="F35" i="9"/>
  <c r="F34" i="9"/>
  <c r="F33" i="9"/>
  <c r="F32" i="9"/>
  <c r="Y16" i="9" l="1"/>
  <c r="Y12" i="9"/>
  <c r="Z6" i="9"/>
  <c r="Z7" i="9" s="1"/>
  <c r="X34" i="9"/>
  <c r="Z34" i="9" s="1"/>
  <c r="U30" i="9"/>
  <c r="U29" i="9"/>
  <c r="U28" i="9"/>
  <c r="X28" i="9" s="1"/>
  <c r="U25" i="9"/>
  <c r="X25" i="9" s="1"/>
  <c r="U49" i="9"/>
  <c r="X49" i="9" s="1"/>
  <c r="Z49" i="9" s="1"/>
  <c r="J57" i="9"/>
  <c r="L57" i="9" s="1"/>
  <c r="U57" i="9" s="1"/>
  <c r="X57" i="9" s="1"/>
  <c r="Z57" i="9" s="1"/>
  <c r="J58" i="9"/>
  <c r="L58" i="9" s="1"/>
  <c r="U58" i="9" s="1"/>
  <c r="X58" i="9" s="1"/>
  <c r="Z58" i="9" s="1"/>
  <c r="J59" i="9"/>
  <c r="L59" i="9" s="1"/>
  <c r="U59" i="9" s="1"/>
  <c r="X59" i="9" s="1"/>
  <c r="Z59" i="9" s="1"/>
  <c r="J60" i="9"/>
  <c r="L60" i="9" s="1"/>
  <c r="Y17" i="9" l="1"/>
  <c r="Y20" i="9" s="1"/>
  <c r="U60" i="9"/>
  <c r="X60" i="9" s="1"/>
  <c r="Z60" i="9" s="1"/>
  <c r="X30" i="9"/>
  <c r="Z30" i="9" s="1"/>
  <c r="X29" i="9"/>
  <c r="Z29" i="9" s="1"/>
  <c r="Z25" i="9"/>
  <c r="Z28" i="9"/>
  <c r="X7" i="9" l="1"/>
  <c r="L19" i="9" l="1"/>
  <c r="E10" i="26" s="1"/>
  <c r="C43" i="26" l="1"/>
  <c r="G22" i="26"/>
  <c r="L22" i="26" s="1"/>
  <c r="G23" i="26"/>
  <c r="L23" i="26" s="1"/>
  <c r="G24" i="26"/>
  <c r="L24" i="26" s="1"/>
  <c r="G25" i="26"/>
  <c r="L25" i="26" s="1"/>
  <c r="G26" i="26"/>
  <c r="L26" i="26" s="1"/>
  <c r="G27" i="26"/>
  <c r="L27" i="26" s="1"/>
  <c r="G29" i="26"/>
  <c r="L29" i="26" s="1"/>
  <c r="H19" i="9"/>
  <c r="J19" i="9" s="1"/>
  <c r="J39" i="9"/>
  <c r="L39" i="9" s="1"/>
  <c r="U39" i="9" s="1"/>
  <c r="X39" i="9" s="1"/>
  <c r="Z39" i="9" s="1"/>
  <c r="J40" i="9"/>
  <c r="L40" i="9" s="1"/>
  <c r="U40" i="9" s="1"/>
  <c r="X40" i="9" s="1"/>
  <c r="Z40" i="9" s="1"/>
  <c r="J41" i="9"/>
  <c r="L41" i="9" s="1"/>
  <c r="U41" i="9" s="1"/>
  <c r="X41" i="9" s="1"/>
  <c r="Z41" i="9" s="1"/>
  <c r="J42" i="9"/>
  <c r="L42" i="9" s="1"/>
  <c r="U42" i="9" s="1"/>
  <c r="X42" i="9" s="1"/>
  <c r="Z42" i="9" s="1"/>
  <c r="J43" i="9"/>
  <c r="L43" i="9" s="1"/>
  <c r="U43" i="9" s="1"/>
  <c r="X43" i="9" s="1"/>
  <c r="Z43" i="9" s="1"/>
  <c r="J44" i="9"/>
  <c r="L44" i="9" s="1"/>
  <c r="U44" i="9" s="1"/>
  <c r="X44" i="9" s="1"/>
  <c r="Z44" i="9" s="1"/>
  <c r="J45" i="9"/>
  <c r="L45" i="9" s="1"/>
  <c r="U45" i="9" s="1"/>
  <c r="X45" i="9" s="1"/>
  <c r="Z45" i="9" s="1"/>
  <c r="M33" i="27"/>
  <c r="A4" i="28"/>
  <c r="M46" i="28"/>
  <c r="K46" i="28"/>
  <c r="F46" i="28"/>
  <c r="H45" i="28"/>
  <c r="L41" i="28"/>
  <c r="K41" i="28"/>
  <c r="J41" i="28"/>
  <c r="F41" i="28"/>
  <c r="F42" i="28" s="1"/>
  <c r="F43" i="28" s="1"/>
  <c r="D41" i="28"/>
  <c r="H40" i="28"/>
  <c r="M40" i="28" s="1"/>
  <c r="H39" i="28"/>
  <c r="H38" i="28"/>
  <c r="M38" i="28" s="1"/>
  <c r="K42" i="28"/>
  <c r="K43" i="28" s="1"/>
  <c r="H29" i="28"/>
  <c r="M29" i="28" s="1"/>
  <c r="H28" i="28"/>
  <c r="M28" i="28" s="1"/>
  <c r="H27" i="28"/>
  <c r="M27" i="28" s="1"/>
  <c r="H26" i="28"/>
  <c r="M26" i="28" s="1"/>
  <c r="H25" i="28"/>
  <c r="M25" i="28" s="1"/>
  <c r="H24" i="28"/>
  <c r="M24" i="28" s="1"/>
  <c r="H23" i="28"/>
  <c r="M23" i="28" s="1"/>
  <c r="H22" i="28"/>
  <c r="M22" i="28" s="1"/>
  <c r="H21" i="28"/>
  <c r="M21" i="28" s="1"/>
  <c r="H20" i="28"/>
  <c r="M20" i="28" s="1"/>
  <c r="H19" i="28"/>
  <c r="M19" i="28" s="1"/>
  <c r="K13" i="28"/>
  <c r="J13" i="28"/>
  <c r="H12" i="28"/>
  <c r="M12" i="28" s="1"/>
  <c r="H11" i="28"/>
  <c r="M11" i="28" s="1"/>
  <c r="F10" i="28"/>
  <c r="F13" i="28" s="1"/>
  <c r="H9" i="28"/>
  <c r="M9" i="28" s="1"/>
  <c r="J46" i="9"/>
  <c r="L46" i="9" s="1"/>
  <c r="U46" i="9" s="1"/>
  <c r="X46" i="9" s="1"/>
  <c r="Z46" i="9" s="1"/>
  <c r="J42" i="28" l="1"/>
  <c r="J43" i="28" s="1"/>
  <c r="H41" i="28"/>
  <c r="M39" i="28"/>
  <c r="M41" i="28" s="1"/>
  <c r="A4" i="27" l="1"/>
  <c r="K42" i="27"/>
  <c r="J42" i="27"/>
  <c r="F42" i="27"/>
  <c r="E42" i="27"/>
  <c r="H41" i="27"/>
  <c r="M41" i="27" s="1"/>
  <c r="H40" i="27"/>
  <c r="M40" i="27" s="1"/>
  <c r="H38" i="27"/>
  <c r="M38" i="27" s="1"/>
  <c r="H37" i="27"/>
  <c r="M37" i="27" s="1"/>
  <c r="H36" i="27"/>
  <c r="M36" i="27" s="1"/>
  <c r="H35" i="27"/>
  <c r="M35" i="27" s="1"/>
  <c r="H34" i="27"/>
  <c r="M34" i="27" s="1"/>
  <c r="H32" i="27"/>
  <c r="M32" i="27" s="1"/>
  <c r="H31" i="27"/>
  <c r="M31" i="27" s="1"/>
  <c r="H30" i="27"/>
  <c r="M30" i="27" s="1"/>
  <c r="H29" i="27"/>
  <c r="M29" i="27" s="1"/>
  <c r="H28" i="27"/>
  <c r="M28" i="27" s="1"/>
  <c r="H27" i="27"/>
  <c r="M27" i="27" s="1"/>
  <c r="H26" i="27"/>
  <c r="M26" i="27" s="1"/>
  <c r="H25" i="27"/>
  <c r="M25" i="27" s="1"/>
  <c r="H24" i="27"/>
  <c r="M24" i="27" s="1"/>
  <c r="H23" i="27"/>
  <c r="M23" i="27" s="1"/>
  <c r="H22" i="27"/>
  <c r="M22" i="27" s="1"/>
  <c r="H21" i="27"/>
  <c r="M21" i="27" s="1"/>
  <c r="H20" i="27"/>
  <c r="M20" i="27" s="1"/>
  <c r="H19" i="27"/>
  <c r="M19" i="27" s="1"/>
  <c r="H18" i="27"/>
  <c r="M18" i="27" s="1"/>
  <c r="H17" i="27"/>
  <c r="M17" i="27" s="1"/>
  <c r="H16" i="27"/>
  <c r="M16" i="27" s="1"/>
  <c r="H12" i="27"/>
  <c r="M12" i="27" s="1"/>
  <c r="K11" i="27"/>
  <c r="K13" i="27" s="1"/>
  <c r="J11" i="27"/>
  <c r="F11" i="27"/>
  <c r="E11" i="27"/>
  <c r="E13" i="27" s="1"/>
  <c r="H10" i="27"/>
  <c r="M10" i="27" s="1"/>
  <c r="H8" i="27"/>
  <c r="M8" i="27" s="1"/>
  <c r="C10" i="26"/>
  <c r="G10" i="26" s="1"/>
  <c r="A4" i="26"/>
  <c r="J43" i="26"/>
  <c r="E43" i="26"/>
  <c r="G42" i="26"/>
  <c r="L42" i="26" s="1"/>
  <c r="G41" i="26"/>
  <c r="L41" i="26" s="1"/>
  <c r="G40" i="26"/>
  <c r="L40" i="26" s="1"/>
  <c r="G39" i="26"/>
  <c r="L39" i="26" s="1"/>
  <c r="G38" i="26"/>
  <c r="L38" i="26" s="1"/>
  <c r="G37" i="26"/>
  <c r="L37" i="26" s="1"/>
  <c r="G36" i="26"/>
  <c r="L36" i="26" s="1"/>
  <c r="G35" i="26"/>
  <c r="L35" i="26" s="1"/>
  <c r="G34" i="26"/>
  <c r="L34" i="26" s="1"/>
  <c r="G33" i="26"/>
  <c r="L33" i="26" s="1"/>
  <c r="G32" i="26"/>
  <c r="L32" i="26" s="1"/>
  <c r="G21" i="26"/>
  <c r="L21" i="26" s="1"/>
  <c r="G20" i="26"/>
  <c r="L20" i="26" s="1"/>
  <c r="G19" i="26"/>
  <c r="L19" i="26" s="1"/>
  <c r="G18" i="26"/>
  <c r="L18" i="26" s="1"/>
  <c r="G17" i="26"/>
  <c r="L17" i="26" s="1"/>
  <c r="G16" i="26"/>
  <c r="L16" i="26" s="1"/>
  <c r="G15" i="26"/>
  <c r="L15" i="26" s="1"/>
  <c r="G14" i="26"/>
  <c r="L14" i="26" s="1"/>
  <c r="G13" i="26"/>
  <c r="J11" i="26"/>
  <c r="I11" i="26"/>
  <c r="F11" i="26"/>
  <c r="E11" i="26"/>
  <c r="A4" i="32" l="1"/>
  <c r="A4" i="35"/>
  <c r="A4" i="31"/>
  <c r="A4" i="30"/>
  <c r="A4" i="29"/>
  <c r="A4" i="34"/>
  <c r="A4" i="33"/>
  <c r="Y23" i="9"/>
  <c r="G43" i="26"/>
  <c r="L13" i="26"/>
  <c r="H16" i="28" l="1"/>
  <c r="J19" i="23"/>
  <c r="J18" i="23"/>
  <c r="J14" i="23"/>
  <c r="J13" i="23"/>
  <c r="J9" i="23"/>
  <c r="K20" i="23"/>
  <c r="K15" i="23"/>
  <c r="K10" i="23"/>
  <c r="H36" i="28" l="1"/>
  <c r="D36" i="28"/>
  <c r="D42" i="28" s="1"/>
  <c r="D43" i="28" s="1"/>
  <c r="M16" i="28"/>
  <c r="C15" i="9"/>
  <c r="E15" i="9" s="1"/>
  <c r="E107" i="22"/>
  <c r="E38" i="22"/>
  <c r="E95" i="22"/>
  <c r="E27" i="22"/>
  <c r="E84" i="22"/>
  <c r="E16" i="22"/>
  <c r="E73" i="22"/>
  <c r="E50" i="22"/>
  <c r="E62" i="22"/>
  <c r="J20" i="23"/>
  <c r="C14" i="9"/>
  <c r="E14" i="9" s="1"/>
  <c r="E37" i="22"/>
  <c r="E94" i="22"/>
  <c r="E26" i="22"/>
  <c r="E83" i="22"/>
  <c r="E15" i="22"/>
  <c r="E72" i="22"/>
  <c r="E61" i="22"/>
  <c r="E49" i="22"/>
  <c r="E106" i="22"/>
  <c r="C11" i="9"/>
  <c r="E103" i="22"/>
  <c r="E34" i="22"/>
  <c r="E91" i="22"/>
  <c r="E46" i="22"/>
  <c r="E69" i="22"/>
  <c r="E23" i="22"/>
  <c r="E80" i="22"/>
  <c r="E12" i="22"/>
  <c r="E58" i="22"/>
  <c r="J15" i="23"/>
  <c r="C10" i="9"/>
  <c r="E102" i="22"/>
  <c r="E68" i="22"/>
  <c r="E33" i="22"/>
  <c r="E90" i="22"/>
  <c r="E57" i="22"/>
  <c r="E79" i="22"/>
  <c r="E22" i="22"/>
  <c r="E45" i="22"/>
  <c r="J10" i="23"/>
  <c r="C6" i="9"/>
  <c r="H42" i="28" l="1"/>
  <c r="H43" i="28" s="1"/>
  <c r="S26" i="9"/>
  <c r="M36" i="28"/>
  <c r="M42" i="28" s="1"/>
  <c r="M43" i="28" s="1"/>
  <c r="U61" i="9"/>
  <c r="X61" i="9" s="1"/>
  <c r="E35" i="22"/>
  <c r="C7" i="29" s="1"/>
  <c r="E11" i="22"/>
  <c r="E13" i="22" s="1"/>
  <c r="E9" i="22"/>
  <c r="F14" i="9"/>
  <c r="L14" i="9"/>
  <c r="U19" i="9"/>
  <c r="X19" i="9" s="1"/>
  <c r="G7" i="29" l="1"/>
  <c r="Z19" i="9"/>
  <c r="X70" i="9"/>
  <c r="Z61" i="9"/>
  <c r="G20" i="9"/>
  <c r="K7" i="29" l="1"/>
  <c r="G9" i="23"/>
  <c r="I20" i="23"/>
  <c r="I15" i="23"/>
  <c r="G19" i="23" l="1"/>
  <c r="G18" i="23"/>
  <c r="G14" i="23"/>
  <c r="G13" i="23"/>
  <c r="U18" i="9" l="1"/>
  <c r="T7" i="9"/>
  <c r="S7" i="9"/>
  <c r="R7" i="9"/>
  <c r="Q7" i="9"/>
  <c r="P7" i="9"/>
  <c r="O7" i="9"/>
  <c r="N7" i="9"/>
  <c r="M7" i="9"/>
  <c r="K7" i="9"/>
  <c r="I7" i="9"/>
  <c r="H7" i="9"/>
  <c r="G7" i="9"/>
  <c r="D7" i="9"/>
  <c r="W7" i="9"/>
  <c r="E6" i="9"/>
  <c r="F6" i="9" s="1"/>
  <c r="G19" i="24"/>
  <c r="G21" i="24" s="1"/>
  <c r="E19" i="24"/>
  <c r="E21" i="24" s="1"/>
  <c r="C19" i="24"/>
  <c r="C21" i="24" s="1"/>
  <c r="C20" i="23"/>
  <c r="H17" i="23"/>
  <c r="C15" i="23"/>
  <c r="H12" i="23"/>
  <c r="C10" i="23"/>
  <c r="H9" i="23"/>
  <c r="G10" i="23"/>
  <c r="G20" i="23"/>
  <c r="D12" i="9"/>
  <c r="J56" i="9"/>
  <c r="L56" i="9" s="1"/>
  <c r="U56" i="9" s="1"/>
  <c r="X56" i="9" s="1"/>
  <c r="Z56" i="9" s="1"/>
  <c r="J55" i="9"/>
  <c r="L55" i="9" s="1"/>
  <c r="U55" i="9" s="1"/>
  <c r="X55" i="9" s="1"/>
  <c r="Z55" i="9" s="1"/>
  <c r="K64" i="9"/>
  <c r="I64" i="9"/>
  <c r="G64" i="9"/>
  <c r="J54" i="9"/>
  <c r="L54" i="9" s="1"/>
  <c r="U54" i="9" s="1"/>
  <c r="X54" i="9" s="1"/>
  <c r="Z54" i="9" s="1"/>
  <c r="J53" i="9"/>
  <c r="L53" i="9" s="1"/>
  <c r="U53" i="9" s="1"/>
  <c r="X53" i="9" s="1"/>
  <c r="Z53" i="9" s="1"/>
  <c r="J52" i="9"/>
  <c r="J50" i="9"/>
  <c r="L50" i="9" s="1"/>
  <c r="U50" i="9" s="1"/>
  <c r="X50" i="9" s="1"/>
  <c r="Z50" i="9" s="1"/>
  <c r="J49" i="9"/>
  <c r="J48" i="9"/>
  <c r="L48" i="9" s="1"/>
  <c r="V42" i="9"/>
  <c r="V39" i="9"/>
  <c r="J38" i="9"/>
  <c r="J37" i="9"/>
  <c r="L37" i="9" s="1"/>
  <c r="J36" i="9"/>
  <c r="L36" i="9" s="1"/>
  <c r="J35" i="9"/>
  <c r="L35" i="9" s="1"/>
  <c r="U35" i="9" s="1"/>
  <c r="X35" i="9" s="1"/>
  <c r="Z35" i="9" s="1"/>
  <c r="J33" i="9"/>
  <c r="L33" i="9" s="1"/>
  <c r="J32" i="9"/>
  <c r="J18" i="9"/>
  <c r="K17" i="9"/>
  <c r="K20" i="9" s="1"/>
  <c r="I17" i="9"/>
  <c r="I20" i="9" s="1"/>
  <c r="W16" i="9"/>
  <c r="W12" i="9"/>
  <c r="H12" i="9"/>
  <c r="U36" i="9" l="1"/>
  <c r="X36" i="9" s="1"/>
  <c r="Z36" i="9" s="1"/>
  <c r="U48" i="9"/>
  <c r="X48" i="9" s="1"/>
  <c r="Z48" i="9" s="1"/>
  <c r="U33" i="9"/>
  <c r="X33" i="9" s="1"/>
  <c r="Z33" i="9" s="1"/>
  <c r="U37" i="9"/>
  <c r="L52" i="9"/>
  <c r="E51" i="22"/>
  <c r="C8" i="30" s="1"/>
  <c r="G8" i="30" s="1"/>
  <c r="M8" i="30" s="1"/>
  <c r="V50" i="9"/>
  <c r="F15" i="9"/>
  <c r="J15" i="9" s="1"/>
  <c r="D16" i="9"/>
  <c r="E96" i="22"/>
  <c r="D8" i="34" s="1"/>
  <c r="H8" i="34" s="1"/>
  <c r="M8" i="34" s="1"/>
  <c r="H18" i="24"/>
  <c r="H10" i="24"/>
  <c r="H11" i="24"/>
  <c r="H12" i="24"/>
  <c r="H13" i="24"/>
  <c r="E28" i="22"/>
  <c r="H14" i="24"/>
  <c r="E11" i="9"/>
  <c r="M11" i="9" s="1"/>
  <c r="H15" i="24"/>
  <c r="H16" i="24"/>
  <c r="H17" i="24"/>
  <c r="E85" i="22"/>
  <c r="D8" i="33" s="1"/>
  <c r="H8" i="33" s="1"/>
  <c r="L8" i="33" s="1"/>
  <c r="E63" i="22"/>
  <c r="C9" i="31" s="1"/>
  <c r="G9" i="31" s="1"/>
  <c r="L9" i="31" s="1"/>
  <c r="C16" i="9"/>
  <c r="H16" i="9"/>
  <c r="H17" i="9" s="1"/>
  <c r="H20" i="9" s="1"/>
  <c r="H63" i="9" s="1"/>
  <c r="L32" i="9"/>
  <c r="W17" i="9"/>
  <c r="W20" i="9" s="1"/>
  <c r="L38" i="9"/>
  <c r="N15" i="9"/>
  <c r="V59" i="9"/>
  <c r="O14" i="9"/>
  <c r="P14" i="9"/>
  <c r="M14" i="9"/>
  <c r="N14" i="9"/>
  <c r="S14" i="9"/>
  <c r="T14" i="9"/>
  <c r="J14" i="9"/>
  <c r="Q14" i="9"/>
  <c r="R14" i="9"/>
  <c r="V35" i="9"/>
  <c r="E108" i="22"/>
  <c r="D8" i="28" s="1"/>
  <c r="H8" i="28" s="1"/>
  <c r="E74" i="22"/>
  <c r="C8" i="32" s="1"/>
  <c r="G8" i="32" s="1"/>
  <c r="M8" i="32" s="1"/>
  <c r="E39" i="22"/>
  <c r="C8" i="29" s="1"/>
  <c r="E17" i="22"/>
  <c r="E18" i="22" s="1"/>
  <c r="P15" i="9"/>
  <c r="O15" i="9"/>
  <c r="S15" i="9"/>
  <c r="E16" i="9"/>
  <c r="L15" i="9"/>
  <c r="T15" i="9"/>
  <c r="R15" i="9"/>
  <c r="M15" i="9"/>
  <c r="Q15" i="9"/>
  <c r="C12" i="9"/>
  <c r="E10" i="9"/>
  <c r="G15" i="23"/>
  <c r="E7" i="9"/>
  <c r="I10" i="23"/>
  <c r="C7" i="9"/>
  <c r="H64" i="9" l="1"/>
  <c r="X37" i="9"/>
  <c r="Z37" i="9" s="1"/>
  <c r="G8" i="29"/>
  <c r="C9" i="29"/>
  <c r="C14" i="29" s="1"/>
  <c r="F10" i="9"/>
  <c r="T10" i="9"/>
  <c r="W63" i="9"/>
  <c r="W64" i="9" s="1"/>
  <c r="V37" i="9"/>
  <c r="U38" i="9"/>
  <c r="X38" i="9" s="1"/>
  <c r="Z38" i="9" s="1"/>
  <c r="U52" i="9"/>
  <c r="X52" i="9" s="1"/>
  <c r="Z52" i="9" s="1"/>
  <c r="V33" i="9"/>
  <c r="V48" i="9"/>
  <c r="U32" i="9"/>
  <c r="V36" i="9"/>
  <c r="P11" i="9"/>
  <c r="O11" i="9"/>
  <c r="F11" i="9"/>
  <c r="J11" i="9" s="1"/>
  <c r="L11" i="9"/>
  <c r="T11" i="9"/>
  <c r="R11" i="9"/>
  <c r="Q11" i="9"/>
  <c r="N11" i="9"/>
  <c r="S11" i="9"/>
  <c r="H19" i="24"/>
  <c r="P16" i="9"/>
  <c r="M16" i="9"/>
  <c r="C9" i="27" s="1"/>
  <c r="H9" i="27" s="1"/>
  <c r="M9" i="27" s="1"/>
  <c r="J16" i="9"/>
  <c r="N16" i="9"/>
  <c r="Q16" i="9"/>
  <c r="L16" i="9"/>
  <c r="F16" i="9"/>
  <c r="U14" i="9"/>
  <c r="R16" i="9"/>
  <c r="S16" i="9"/>
  <c r="T16" i="9"/>
  <c r="M8" i="28" s="1"/>
  <c r="O16" i="9"/>
  <c r="U15" i="9"/>
  <c r="L10" i="9"/>
  <c r="Q10" i="9"/>
  <c r="E12" i="9"/>
  <c r="P10" i="9"/>
  <c r="M10" i="9"/>
  <c r="M12" i="9" s="1"/>
  <c r="C7" i="27" s="1"/>
  <c r="H7" i="27" s="1"/>
  <c r="N10" i="9"/>
  <c r="R10" i="9"/>
  <c r="O10" i="9"/>
  <c r="S10" i="9"/>
  <c r="F7" i="9"/>
  <c r="J6" i="9"/>
  <c r="K8" i="29" l="1"/>
  <c r="K9" i="29" s="1"/>
  <c r="G9" i="29"/>
  <c r="G14" i="29" s="1"/>
  <c r="X32" i="9"/>
  <c r="Z32" i="9" s="1"/>
  <c r="V38" i="9"/>
  <c r="V52" i="9"/>
  <c r="V32" i="9"/>
  <c r="V15" i="9"/>
  <c r="X15" i="9"/>
  <c r="Z15" i="9" s="1"/>
  <c r="V14" i="9"/>
  <c r="X14" i="9"/>
  <c r="C9" i="26"/>
  <c r="G9" i="26" s="1"/>
  <c r="L9" i="26" s="1"/>
  <c r="C11" i="27"/>
  <c r="C13" i="27" s="1"/>
  <c r="N12" i="9"/>
  <c r="N17" i="9" s="1"/>
  <c r="P12" i="9"/>
  <c r="P17" i="9" s="1"/>
  <c r="O12" i="9"/>
  <c r="O17" i="9" s="1"/>
  <c r="U11" i="9"/>
  <c r="T12" i="9"/>
  <c r="S12" i="9"/>
  <c r="S17" i="9" s="1"/>
  <c r="S20" i="9" s="1"/>
  <c r="R12" i="9"/>
  <c r="R17" i="9" s="1"/>
  <c r="Q12" i="9"/>
  <c r="Q17" i="9" s="1"/>
  <c r="U16" i="9"/>
  <c r="V16" i="9" s="1"/>
  <c r="M17" i="9"/>
  <c r="U10" i="9"/>
  <c r="X10" i="9" s="1"/>
  <c r="Z10" i="9" s="1"/>
  <c r="L12" i="9"/>
  <c r="C8" i="26" s="1"/>
  <c r="G8" i="26" s="1"/>
  <c r="L8" i="26" s="1"/>
  <c r="J10" i="9"/>
  <c r="F12" i="9"/>
  <c r="J7" i="9"/>
  <c r="L6" i="9"/>
  <c r="X16" i="9" l="1"/>
  <c r="Z14" i="9"/>
  <c r="Z16" i="9" s="1"/>
  <c r="V11" i="9"/>
  <c r="X11" i="9"/>
  <c r="U12" i="9"/>
  <c r="T17" i="9"/>
  <c r="T20" i="9" s="1"/>
  <c r="M7" i="27"/>
  <c r="M11" i="27" s="1"/>
  <c r="M13" i="27" s="1"/>
  <c r="H11" i="27"/>
  <c r="M20" i="9"/>
  <c r="N20" i="9"/>
  <c r="R20" i="9"/>
  <c r="P20" i="9"/>
  <c r="O20" i="9"/>
  <c r="Q20" i="9"/>
  <c r="J12" i="9"/>
  <c r="V10" i="9"/>
  <c r="U6" i="9"/>
  <c r="U7" i="9" s="1"/>
  <c r="L7" i="9"/>
  <c r="C7" i="26" s="1"/>
  <c r="G7" i="26" s="1"/>
  <c r="U17" i="9" l="1"/>
  <c r="U20" i="9" s="1"/>
  <c r="H13" i="27"/>
  <c r="X12" i="9"/>
  <c r="X17" i="9" s="1"/>
  <c r="X20" i="9" s="1"/>
  <c r="Z11" i="9"/>
  <c r="Z12" i="9" s="1"/>
  <c r="Z17" i="9" s="1"/>
  <c r="Z20" i="9" s="1"/>
  <c r="U24" i="9"/>
  <c r="U26" i="9"/>
  <c r="V12" i="9"/>
  <c r="V17" i="9" s="1"/>
  <c r="V20" i="9" s="1"/>
  <c r="C11" i="26"/>
  <c r="C44" i="26" s="1"/>
  <c r="B7" i="25"/>
  <c r="G18" i="22"/>
  <c r="V7" i="9"/>
  <c r="J17" i="9"/>
  <c r="J20" i="9" s="1"/>
  <c r="E24" i="22"/>
  <c r="E29" i="22" s="1"/>
  <c r="L17" i="9"/>
  <c r="O8" i="9"/>
  <c r="T8" i="9"/>
  <c r="Q8" i="9"/>
  <c r="S8" i="9"/>
  <c r="M8" i="9" l="1"/>
  <c r="R8" i="9"/>
  <c r="N8" i="9"/>
  <c r="P8" i="9"/>
  <c r="X24" i="9"/>
  <c r="Z24" i="9" s="1"/>
  <c r="X26" i="9"/>
  <c r="Z26" i="9" s="1"/>
  <c r="L20" i="9"/>
  <c r="L7" i="26"/>
  <c r="L11" i="26" s="1"/>
  <c r="G11" i="26"/>
  <c r="G44" i="26" s="1"/>
  <c r="B8" i="25"/>
  <c r="G29" i="22"/>
  <c r="E40" i="22"/>
  <c r="L8" i="9"/>
  <c r="B9" i="25" l="1"/>
  <c r="G40" i="22"/>
  <c r="E47" i="22"/>
  <c r="E52" i="22" l="1"/>
  <c r="B10" i="25" s="1"/>
  <c r="C7" i="30"/>
  <c r="U27" i="9"/>
  <c r="E59" i="22"/>
  <c r="G52" i="22" l="1"/>
  <c r="E64" i="22"/>
  <c r="C8" i="31"/>
  <c r="G7" i="30"/>
  <c r="C9" i="30"/>
  <c r="C15" i="30" s="1"/>
  <c r="X27" i="9"/>
  <c r="B11" i="25"/>
  <c r="G64" i="22"/>
  <c r="E70" i="22"/>
  <c r="C7" i="32" l="1"/>
  <c r="E75" i="22"/>
  <c r="M7" i="30"/>
  <c r="M9" i="30" s="1"/>
  <c r="G9" i="30"/>
  <c r="G15" i="30" s="1"/>
  <c r="G8" i="31"/>
  <c r="C11" i="31"/>
  <c r="C21" i="31" s="1"/>
  <c r="Z27" i="9"/>
  <c r="E81" i="22"/>
  <c r="G7" i="32" l="1"/>
  <c r="C10" i="32"/>
  <c r="C23" i="32" s="1"/>
  <c r="E86" i="22"/>
  <c r="D7" i="33"/>
  <c r="G75" i="22"/>
  <c r="B12" i="25"/>
  <c r="L8" i="31"/>
  <c r="L11" i="31" s="1"/>
  <c r="G11" i="31"/>
  <c r="G21" i="31" s="1"/>
  <c r="B13" i="25"/>
  <c r="G86" i="22"/>
  <c r="E104" i="22"/>
  <c r="E92" i="22"/>
  <c r="E109" i="22" l="1"/>
  <c r="B15" i="25" s="1"/>
  <c r="D7" i="28"/>
  <c r="H7" i="33"/>
  <c r="D9" i="33"/>
  <c r="D18" i="33" s="1"/>
  <c r="E97" i="22"/>
  <c r="D7" i="34"/>
  <c r="M7" i="32"/>
  <c r="M10" i="32" s="1"/>
  <c r="G10" i="32"/>
  <c r="G23" i="32" s="1"/>
  <c r="B14" i="25"/>
  <c r="G97" i="22"/>
  <c r="E110" i="22" l="1"/>
  <c r="G110" i="22" s="1"/>
  <c r="G109" i="22"/>
  <c r="B16" i="25"/>
  <c r="C7" i="25" s="1"/>
  <c r="H7" i="34"/>
  <c r="D10" i="34"/>
  <c r="D21" i="34" s="1"/>
  <c r="H9" i="33"/>
  <c r="H18" i="33" s="1"/>
  <c r="L7" i="33"/>
  <c r="L9" i="33" s="1"/>
  <c r="H7" i="28"/>
  <c r="D10" i="28"/>
  <c r="D13" i="28" s="1"/>
  <c r="D44" i="28" s="1"/>
  <c r="D46" i="28" s="1"/>
  <c r="C12" i="25"/>
  <c r="D12" i="25" s="1"/>
  <c r="C13" i="25"/>
  <c r="D13" i="25" s="1"/>
  <c r="C15" i="25"/>
  <c r="D15" i="25" s="1"/>
  <c r="C8" i="25"/>
  <c r="D8" i="25" s="1"/>
  <c r="F8" i="25" s="1"/>
  <c r="C9" i="25"/>
  <c r="D9" i="25" s="1"/>
  <c r="D7" i="25"/>
  <c r="C10" i="25" l="1"/>
  <c r="D10" i="25" s="1"/>
  <c r="G8" i="25"/>
  <c r="M31" i="9"/>
  <c r="C15" i="27" s="1"/>
  <c r="G15" i="25"/>
  <c r="F15" i="25"/>
  <c r="T31" i="9" s="1"/>
  <c r="T62" i="9" s="1"/>
  <c r="T63" i="9" s="1"/>
  <c r="T64" i="9" s="1"/>
  <c r="G13" i="25"/>
  <c r="F13" i="25"/>
  <c r="R31" i="9" s="1"/>
  <c r="R62" i="9" s="1"/>
  <c r="R63" i="9" s="1"/>
  <c r="R64" i="9" s="1"/>
  <c r="G12" i="25"/>
  <c r="F12" i="25"/>
  <c r="Q31" i="9" s="1"/>
  <c r="Q62" i="9" s="1"/>
  <c r="Q63" i="9" s="1"/>
  <c r="Q64" i="9" s="1"/>
  <c r="G10" i="25"/>
  <c r="F10" i="25"/>
  <c r="O31" i="9" s="1"/>
  <c r="O62" i="9" s="1"/>
  <c r="O63" i="9" s="1"/>
  <c r="O64" i="9" s="1"/>
  <c r="H10" i="28"/>
  <c r="H13" i="28" s="1"/>
  <c r="H44" i="28" s="1"/>
  <c r="H46" i="28" s="1"/>
  <c r="M7" i="28"/>
  <c r="M10" i="28" s="1"/>
  <c r="M13" i="28" s="1"/>
  <c r="C14" i="25"/>
  <c r="D14" i="25" s="1"/>
  <c r="G7" i="25"/>
  <c r="F7" i="25"/>
  <c r="G9" i="25"/>
  <c r="F9" i="25"/>
  <c r="N31" i="9" s="1"/>
  <c r="N62" i="9" s="1"/>
  <c r="N63" i="9" s="1"/>
  <c r="N64" i="9" s="1"/>
  <c r="C11" i="25"/>
  <c r="D11" i="25" s="1"/>
  <c r="D16" i="25" l="1"/>
  <c r="F31" i="9" s="1"/>
  <c r="F62" i="9" s="1"/>
  <c r="F63" i="9" s="1"/>
  <c r="F64" i="9" s="1"/>
  <c r="L31" i="9"/>
  <c r="G14" i="25"/>
  <c r="F14" i="25"/>
  <c r="S31" i="9" s="1"/>
  <c r="S62" i="9" s="1"/>
  <c r="S63" i="9" s="1"/>
  <c r="S64" i="9" s="1"/>
  <c r="J31" i="9"/>
  <c r="J62" i="9" s="1"/>
  <c r="G11" i="25"/>
  <c r="F11" i="25"/>
  <c r="P31" i="9" s="1"/>
  <c r="P62" i="9" s="1"/>
  <c r="P63" i="9" s="1"/>
  <c r="P64" i="9" s="1"/>
  <c r="C42" i="27"/>
  <c r="C43" i="27" s="1"/>
  <c r="H15" i="27"/>
  <c r="M15" i="27" l="1"/>
  <c r="M42" i="27" s="1"/>
  <c r="H42" i="27"/>
  <c r="U31" i="9"/>
  <c r="L62" i="9"/>
  <c r="L63" i="9" s="1"/>
  <c r="F16" i="25"/>
  <c r="H10" i="34"/>
  <c r="H21" i="34" s="1"/>
  <c r="F10" i="34"/>
  <c r="M7" i="34"/>
  <c r="M10" i="34" s="1"/>
  <c r="X31" i="9" l="1"/>
  <c r="Z31" i="9" s="1"/>
  <c r="L64" i="9"/>
  <c r="V62" i="9"/>
  <c r="M23" i="9"/>
  <c r="H43" i="27"/>
  <c r="J63" i="9"/>
  <c r="J64" i="9" l="1"/>
  <c r="M62" i="9"/>
  <c r="U23" i="9"/>
  <c r="V63" i="9"/>
  <c r="Y63" i="9" s="1"/>
  <c r="V64" i="9" l="1"/>
  <c r="X23" i="9"/>
  <c r="Z23" i="9" s="1"/>
  <c r="U62" i="9"/>
  <c r="M63" i="9"/>
  <c r="M64" i="9" l="1"/>
  <c r="U63" i="9"/>
  <c r="X63" i="9" s="1"/>
  <c r="X62" i="9"/>
  <c r="U64" i="9" l="1"/>
  <c r="X71" i="9"/>
  <c r="X72" i="9" s="1"/>
  <c r="Z63" i="9"/>
  <c r="X64" i="9"/>
  <c r="L28" i="26"/>
  <c r="L43" i="26" s="1"/>
  <c r="Y47" i="9"/>
  <c r="I43" i="26"/>
  <c r="Z47" i="9" l="1"/>
  <c r="Z62" i="9" s="1"/>
  <c r="Z64" i="9" s="1"/>
  <c r="Y62" i="9"/>
  <c r="Y64" i="9" s="1"/>
</calcChain>
</file>

<file path=xl/sharedStrings.xml><?xml version="1.0" encoding="utf-8"?>
<sst xmlns="http://schemas.openxmlformats.org/spreadsheetml/2006/main" count="620" uniqueCount="311">
  <si>
    <t>Budget/exp account</t>
  </si>
  <si>
    <t>(Multiple Items)</t>
  </si>
  <si>
    <t>Row Labels</t>
  </si>
  <si>
    <t>Sum of Allocated Budget</t>
  </si>
  <si>
    <t>Sum of Pre-Encumbrances</t>
  </si>
  <si>
    <t>Sum of Encumbrances</t>
  </si>
  <si>
    <t>Sum of Expenditures</t>
  </si>
  <si>
    <t>Sum of Available Budget</t>
  </si>
  <si>
    <t>Athletics &amp; Recreation</t>
  </si>
  <si>
    <t>General Athletics</t>
  </si>
  <si>
    <t>Athletics &amp; Recreation Total</t>
  </si>
  <si>
    <t>Center, Film, Radio &amp; TV</t>
  </si>
  <si>
    <t>PC not applicable</t>
  </si>
  <si>
    <t>Center, Film, Radio &amp; TV Total</t>
  </si>
  <si>
    <t>Center, Performing Arts</t>
  </si>
  <si>
    <t>Center, Performing Arts Total</t>
  </si>
  <si>
    <t>Counseling Center</t>
  </si>
  <si>
    <t>Counseling Center Total</t>
  </si>
  <si>
    <t>Creative/Performing Arts</t>
  </si>
  <si>
    <t>Creative/Performing Arts Total</t>
  </si>
  <si>
    <t>Student Affairs Administration</t>
  </si>
  <si>
    <t>Student Affairs Administration Total</t>
  </si>
  <si>
    <t>Student Affairs-Life/Devel</t>
  </si>
  <si>
    <t>African Student Association Cl</t>
  </si>
  <si>
    <t>Balck History Heritage Society</t>
  </si>
  <si>
    <t>Career Services</t>
  </si>
  <si>
    <t>Chinese Student Association</t>
  </si>
  <si>
    <t>Commencement</t>
  </si>
  <si>
    <t>Health Services</t>
  </si>
  <si>
    <t>Hispanic Cultural</t>
  </si>
  <si>
    <t>Leadership Conference</t>
  </si>
  <si>
    <t>Mental Health Initiative</t>
  </si>
  <si>
    <t>Pandora's Box</t>
  </si>
  <si>
    <t>Special Projects</t>
  </si>
  <si>
    <t>Student Orientaton</t>
  </si>
  <si>
    <t>Student Affairs-Life/Devel Total</t>
  </si>
  <si>
    <t>Student Center/Student Activ</t>
  </si>
  <si>
    <t>African Student Association</t>
  </si>
  <si>
    <t>Anime Club</t>
  </si>
  <si>
    <t>Aviation Club</t>
  </si>
  <si>
    <t>Choral Festival</t>
  </si>
  <si>
    <t>Clinical Lab Club</t>
  </si>
  <si>
    <t>Computer</t>
  </si>
  <si>
    <t>Cultural Diversity</t>
  </si>
  <si>
    <t>Disabled Students</t>
  </si>
  <si>
    <t>Future Teachers</t>
  </si>
  <si>
    <t>Haitian Student Association</t>
  </si>
  <si>
    <t>Impact Club</t>
  </si>
  <si>
    <t>Music Discipline</t>
  </si>
  <si>
    <t>Muslim Student Association</t>
  </si>
  <si>
    <t>N.A.B.A. Club</t>
  </si>
  <si>
    <t>Nursing Club</t>
  </si>
  <si>
    <t>Pre Med Club</t>
  </si>
  <si>
    <t>Social Work Club</t>
  </si>
  <si>
    <t>YSOTA</t>
  </si>
  <si>
    <t>Student Center/Student Activ Total</t>
  </si>
  <si>
    <t>Student Development</t>
  </si>
  <si>
    <t>Student Development Total</t>
  </si>
  <si>
    <t>Student Union</t>
  </si>
  <si>
    <t>Student Union Total</t>
  </si>
  <si>
    <t>Study Abroad Program</t>
  </si>
  <si>
    <t>Study Abroad Program Total</t>
  </si>
  <si>
    <t>VP Finance and Administration</t>
  </si>
  <si>
    <t>VP Finance and Administration Total</t>
  </si>
  <si>
    <t>Grand Total</t>
  </si>
  <si>
    <t>York College Association, Inc</t>
  </si>
  <si>
    <t>Proposed Budget/Expenditure Report - FY 2024</t>
  </si>
  <si>
    <t>As of March 31, 2025</t>
  </si>
  <si>
    <t>Semesters</t>
  </si>
  <si>
    <t>Initial Enroll. 85% of FY2024 Actuals</t>
  </si>
  <si>
    <t>Form A Adj</t>
  </si>
  <si>
    <t>Adj Enroll.</t>
  </si>
  <si>
    <t>Initial Budget</t>
  </si>
  <si>
    <t>Adjustment</t>
  </si>
  <si>
    <t>Adjusted Budget</t>
  </si>
  <si>
    <t>Budget Committee</t>
  </si>
  <si>
    <t>Athletic Department</t>
  </si>
  <si>
    <t>Child &amp; Family Center</t>
  </si>
  <si>
    <t>Study/Away/Aboard Fund</t>
  </si>
  <si>
    <t>Game Room</t>
  </si>
  <si>
    <t>YC Radio Station</t>
  </si>
  <si>
    <t>A.P.A.F.</t>
  </si>
  <si>
    <t>Student Government</t>
  </si>
  <si>
    <t>Student Clubs</t>
  </si>
  <si>
    <t>Total</t>
  </si>
  <si>
    <t>Proposed Budget 2015-2016</t>
  </si>
  <si>
    <t>FY25 Budget Approved</t>
  </si>
  <si>
    <t>Actual Expenditures As of 03/31/25</t>
  </si>
  <si>
    <t>Projected Expenditures - April - June</t>
  </si>
  <si>
    <t>Summer @ $15</t>
  </si>
  <si>
    <t xml:space="preserve">Fall </t>
  </si>
  <si>
    <t xml:space="preserve">     Full-Time @ $72.15</t>
  </si>
  <si>
    <t xml:space="preserve">     Part-Time @ $52.15</t>
  </si>
  <si>
    <t>Spring</t>
  </si>
  <si>
    <t>Total Student Fees</t>
  </si>
  <si>
    <t>Other Rev (Gameroom)</t>
  </si>
  <si>
    <t>Reappropriations</t>
  </si>
  <si>
    <t>Total Revenue</t>
  </si>
  <si>
    <t>Operating Expenses</t>
  </si>
  <si>
    <t>A.P.A.F</t>
  </si>
  <si>
    <t>Student Govt</t>
  </si>
  <si>
    <t>Student Club</t>
  </si>
  <si>
    <t>Family Center</t>
  </si>
  <si>
    <t xml:space="preserve">Study/Away/Aboard </t>
  </si>
  <si>
    <t xml:space="preserve">Administrative Service </t>
  </si>
  <si>
    <t>Attorney Fee</t>
  </si>
  <si>
    <t>Auditing Fee</t>
  </si>
  <si>
    <t>Music License Fees</t>
  </si>
  <si>
    <t xml:space="preserve">Director's Insurance </t>
  </si>
  <si>
    <t>General Liability Insurance</t>
  </si>
  <si>
    <t>Student Government Elections</t>
  </si>
  <si>
    <t>Use of Facilities</t>
  </si>
  <si>
    <t>Leadership Confer/Retreats</t>
  </si>
  <si>
    <t xml:space="preserve">  Club Fairs</t>
  </si>
  <si>
    <t xml:space="preserve">  Senior Dance</t>
  </si>
  <si>
    <t xml:space="preserve">  Salary</t>
  </si>
  <si>
    <t xml:space="preserve">Career Curriculum </t>
  </si>
  <si>
    <t>CPR Workshop</t>
  </si>
  <si>
    <t>Counseling Department VCG: UWILL</t>
  </si>
  <si>
    <t>Office of Student Activities/Development</t>
  </si>
  <si>
    <t>Office of Student Activities</t>
  </si>
  <si>
    <t>Pandora' Box</t>
  </si>
  <si>
    <t>Student Orientation - additional funding approved 5/23/24</t>
  </si>
  <si>
    <t>Yearbook Committee</t>
  </si>
  <si>
    <t>Student Orientation - additional funding approved 4/21/22</t>
  </si>
  <si>
    <t>Undergraduate Research Day</t>
  </si>
  <si>
    <t>Club Fairs</t>
  </si>
  <si>
    <t>President Fund</t>
  </si>
  <si>
    <t>President's Fund</t>
  </si>
  <si>
    <t>Commencement / Carnival</t>
  </si>
  <si>
    <t>Open House</t>
  </si>
  <si>
    <t xml:space="preserve">Study Up Til Midnight - Fall </t>
  </si>
  <si>
    <t>Accepted Student Reception</t>
  </si>
  <si>
    <t xml:space="preserve">Nursing Lobby Day </t>
  </si>
  <si>
    <t>OT Pinning Ceremony</t>
  </si>
  <si>
    <t>Commencement/Carnival</t>
  </si>
  <si>
    <t>Referendum Expenses</t>
  </si>
  <si>
    <t xml:space="preserve">Total Expenses </t>
  </si>
  <si>
    <t>Total Revenue Less Expenses (Unallocated)</t>
  </si>
  <si>
    <t>Total Adjusted Budget &amp; Unallocated Funds</t>
  </si>
  <si>
    <t>Beginning Balance</t>
  </si>
  <si>
    <t>Total Revenue &amp; Reserve Re-Allocations</t>
  </si>
  <si>
    <t>Projected Surplus/(Deficit)</t>
  </si>
  <si>
    <t>Projected Ending Balance</t>
  </si>
  <si>
    <t xml:space="preserve">Note: </t>
  </si>
  <si>
    <t>Projected ending balance doesn't  include  interest earned and other income.</t>
  </si>
  <si>
    <t>Budget Committee (Dept. 75060)</t>
  </si>
  <si>
    <t xml:space="preserve"> Budget/Expenditure Report</t>
  </si>
  <si>
    <t>Y-T-D         Encumbrances</t>
  </si>
  <si>
    <t>Y-T-D        Expenses</t>
  </si>
  <si>
    <t>Variances</t>
  </si>
  <si>
    <t>Summer</t>
  </si>
  <si>
    <t xml:space="preserve">Reappropration </t>
  </si>
  <si>
    <t>Total Operating Expenses</t>
  </si>
  <si>
    <t>Unallocated Funds</t>
  </si>
  <si>
    <t>Athletic Department (Dept. 75012)</t>
  </si>
  <si>
    <t>Mid-Year Adjustments</t>
  </si>
  <si>
    <t>Prior Year (FY19) Budget Deficit</t>
  </si>
  <si>
    <t>Reappropriation</t>
  </si>
  <si>
    <t>Total Revenue &amp; Reappropriation</t>
  </si>
  <si>
    <t>Professional Services</t>
  </si>
  <si>
    <t>Printing &amp; Duplicating</t>
  </si>
  <si>
    <t>Athletic Supplies</t>
  </si>
  <si>
    <t>Other Supplies</t>
  </si>
  <si>
    <t>Periodicals/Subcriptions</t>
  </si>
  <si>
    <t>Travel - Air Fare</t>
  </si>
  <si>
    <t>Local - Ground Transportation</t>
  </si>
  <si>
    <t xml:space="preserve">Hotel &amp; Lodging </t>
  </si>
  <si>
    <t>`</t>
  </si>
  <si>
    <t>Meals</t>
  </si>
  <si>
    <t>Registration Fees</t>
  </si>
  <si>
    <t>Rental</t>
  </si>
  <si>
    <t>Services-Temporary</t>
  </si>
  <si>
    <t>Referee &amp; Game Aide</t>
  </si>
  <si>
    <t>Catering</t>
  </si>
  <si>
    <t>Awards Dinner</t>
  </si>
  <si>
    <t>General Athletic</t>
  </si>
  <si>
    <t>Membership</t>
  </si>
  <si>
    <t>Athletic Insurance</t>
  </si>
  <si>
    <t>Equipment</t>
  </si>
  <si>
    <t>Computer Maintenance</t>
  </si>
  <si>
    <t>Software</t>
  </si>
  <si>
    <t>Sipping</t>
  </si>
  <si>
    <t>Maintenance</t>
  </si>
  <si>
    <t>Recruitment Expenses</t>
  </si>
  <si>
    <t>Child &amp; Family Center (Dept. 60023)</t>
  </si>
  <si>
    <t>Y-T-D         Expenses &amp; Encumbrances</t>
  </si>
  <si>
    <t>Salary</t>
  </si>
  <si>
    <t>Study Away / Abroad Fund (Dept. 70023)</t>
  </si>
  <si>
    <t>Budget/Expenditure Report</t>
  </si>
  <si>
    <t>Encumbrances</t>
  </si>
  <si>
    <t>Out of Town-Non PSC Lodging</t>
  </si>
  <si>
    <t>Services - Training</t>
  </si>
  <si>
    <t>Game Room (Dept. 75075)</t>
  </si>
  <si>
    <t xml:space="preserve">Y-T-D         Expenses </t>
  </si>
  <si>
    <t>Game Room Revenue</t>
  </si>
  <si>
    <t>Pool Table Maintenance</t>
  </si>
  <si>
    <t>Equipment Replacement (Video &amp; Pool Table)</t>
  </si>
  <si>
    <t>Furniture Replacement</t>
  </si>
  <si>
    <t>Tournament - Catering &amp; Trophies</t>
  </si>
  <si>
    <t>Supplies</t>
  </si>
  <si>
    <t>YC Radio Station (Dept. 60031)</t>
  </si>
  <si>
    <t>Webcasters / Fees</t>
  </si>
  <si>
    <t>Transcription Services</t>
  </si>
  <si>
    <t>Promotional Items</t>
  </si>
  <si>
    <t>Equipment Maintenance</t>
  </si>
  <si>
    <t>Association Performing Arts Fund (Dept. 10074)</t>
  </si>
  <si>
    <t>Date</t>
  </si>
  <si>
    <t>Total Clubs Award</t>
  </si>
  <si>
    <t>Student Government Association (Dept. 75055)</t>
  </si>
  <si>
    <t xml:space="preserve">Reappropriation </t>
  </si>
  <si>
    <t>Administrative Fee</t>
  </si>
  <si>
    <t>2469</t>
  </si>
  <si>
    <t>2470</t>
  </si>
  <si>
    <t>0144</t>
  </si>
  <si>
    <t>Student Clubs (Dept. 75062)</t>
  </si>
  <si>
    <t>Reallocation</t>
  </si>
  <si>
    <t>Financial Aid Fund</t>
  </si>
  <si>
    <t>Total Fall</t>
  </si>
  <si>
    <t>Total Spring</t>
  </si>
  <si>
    <t>Transfer from Budget Committee</t>
  </si>
  <si>
    <t>Adjustded Unallocated Funds</t>
  </si>
  <si>
    <t>Pandora's Box (Program 14137)</t>
  </si>
  <si>
    <t>Budget Awarded</t>
  </si>
  <si>
    <t>Total Budget Awarded</t>
  </si>
  <si>
    <t xml:space="preserve">Printing </t>
  </si>
  <si>
    <t>Stipends</t>
  </si>
  <si>
    <t>Conference</t>
  </si>
  <si>
    <t>Web/Online</t>
  </si>
  <si>
    <t>Memberships</t>
  </si>
  <si>
    <t>Software / Training</t>
  </si>
  <si>
    <t>Awards</t>
  </si>
  <si>
    <t>YORK CLLEGE ASSOCIATION</t>
  </si>
  <si>
    <t>Fiscal Year 2024 - 2025</t>
  </si>
  <si>
    <t>Admistrative Fee Breakdown</t>
  </si>
  <si>
    <t>Referendums</t>
  </si>
  <si>
    <t>Total Initial Revenue</t>
  </si>
  <si>
    <t>% of Admin Fee</t>
  </si>
  <si>
    <t>Total Admin Fee</t>
  </si>
  <si>
    <t>Nearest Hundreth</t>
  </si>
  <si>
    <t xml:space="preserve">     Budget Committee</t>
  </si>
  <si>
    <t xml:space="preserve">     Athletic Department</t>
  </si>
  <si>
    <t xml:space="preserve">     Child and Family Center</t>
  </si>
  <si>
    <t xml:space="preserve">     Study/Away/Aboard Program</t>
  </si>
  <si>
    <t xml:space="preserve">     Game Room</t>
  </si>
  <si>
    <t xml:space="preserve">     YC Radio Station</t>
  </si>
  <si>
    <t xml:space="preserve">     Associatin Performing Arts Fund</t>
  </si>
  <si>
    <t xml:space="preserve">     Student Government</t>
  </si>
  <si>
    <t xml:space="preserve">     Student Clubs</t>
  </si>
  <si>
    <t>Association Fee</t>
  </si>
  <si>
    <t>YORK COLLEGE ASSOCIATION</t>
  </si>
  <si>
    <t>REFERENDUMS AND APPROVED PROGRAMS</t>
  </si>
  <si>
    <t>FOR FISCAL YEAR 2024 - 2025</t>
  </si>
  <si>
    <t>As of July 1, 2024</t>
  </si>
  <si>
    <t>BUDGET COMMITTEE</t>
  </si>
  <si>
    <t>30% of Earmarking</t>
  </si>
  <si>
    <t>SUMMER:</t>
  </si>
  <si>
    <t>PART TIME STUDENTS @ $15.00</t>
  </si>
  <si>
    <t>FALL:</t>
  </si>
  <si>
    <t>FULL TIME STUDENTS @ $21.15</t>
  </si>
  <si>
    <t>PART TIME STUDENTS @ $11.15</t>
  </si>
  <si>
    <t>TOTAL FALL</t>
  </si>
  <si>
    <t>SPRING:</t>
  </si>
  <si>
    <t>TOTAL BUDGET COMMITTEE BALANCE</t>
  </si>
  <si>
    <t>ATHLETIC FUND</t>
  </si>
  <si>
    <t>FULL TIME STUDENTS @ $23.00</t>
  </si>
  <si>
    <t>PART TIME STUDENTS @ $16.00</t>
  </si>
  <si>
    <t>TOTAL ATHLETIC FUND</t>
  </si>
  <si>
    <t>CHILD &amp; FAMILY CENTER</t>
  </si>
  <si>
    <t>FULL TIME STUDENTS @ $5.00</t>
  </si>
  <si>
    <t>PART TIME STUDENTS @ $5.00</t>
  </si>
  <si>
    <t>TOTAL CHILD &amp; FAMILY CENTER</t>
  </si>
  <si>
    <t>STUDY AWAY/ABROAD PROGRAM</t>
  </si>
  <si>
    <t>FULL TIME STUDENTS @ $4.00</t>
  </si>
  <si>
    <t>PART TIME STUDENTS @ $3.00</t>
  </si>
  <si>
    <t>TOTAL STUDY AWAY/ABROAD PROGRAM</t>
  </si>
  <si>
    <t>GAMEROOM</t>
  </si>
  <si>
    <t>FULL TIME STUDENTS @ $3.00</t>
  </si>
  <si>
    <t>TOTAL GAMEROOM</t>
  </si>
  <si>
    <t>Y.C RADIO STATION</t>
  </si>
  <si>
    <t>PART TIME STUDENTS @ $4.00</t>
  </si>
  <si>
    <t>TOTAL Y.C RADIO STATION</t>
  </si>
  <si>
    <t>PERFORMING ARTS FUND</t>
  </si>
  <si>
    <t>FULL TIME STUDENTS @ $2.00</t>
  </si>
  <si>
    <t>PART TIME STUDENTS @ $2.00</t>
  </si>
  <si>
    <t>TOTAL PERFORMING ARTS FUND BALANCE</t>
  </si>
  <si>
    <t>STUDENT GOVERNMENT</t>
  </si>
  <si>
    <t>FULL TIME STUDENTS @ $6.00</t>
  </si>
  <si>
    <t>PART TIME STUDENTS @ $6.00</t>
  </si>
  <si>
    <t>TOTAL STUDENT GOVERNMENT</t>
  </si>
  <si>
    <t>STUDENT CLUBS</t>
  </si>
  <si>
    <t>TOTAL STUDENT CLUBS</t>
  </si>
  <si>
    <t>GRAND TOTAL</t>
  </si>
  <si>
    <t>Student Activity Fee Enrollment</t>
  </si>
  <si>
    <t>Fiscal Year 2024 Acual vs 2025 Budget</t>
  </si>
  <si>
    <t>Student Association Fee</t>
  </si>
  <si>
    <t>FY2021 Actual</t>
  </si>
  <si>
    <t>FY2022  Proposed</t>
  </si>
  <si>
    <t>FY2024  Actual</t>
  </si>
  <si>
    <t>FY2025  Proposed</t>
  </si>
  <si>
    <t>FY2025  Actual</t>
  </si>
  <si>
    <t xml:space="preserve">     Summer</t>
  </si>
  <si>
    <t>Total Summer</t>
  </si>
  <si>
    <t xml:space="preserve">     Fall</t>
  </si>
  <si>
    <t>Full Time</t>
  </si>
  <si>
    <t>Part Time</t>
  </si>
  <si>
    <t xml:space="preserve">     Spring</t>
  </si>
  <si>
    <t>Fiscal Year 2024-2025</t>
  </si>
  <si>
    <t>Student Association Fee Breakdown</t>
  </si>
  <si>
    <t>University Student Senate</t>
  </si>
  <si>
    <t>Total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</si>
</sst>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/d/yy;@"/>
    <numFmt numFmtId="166" formatCode="_(&quot;$&quot;* #,##0_);_(&quot;$&quot;* \(#,##0\);_(&quot;$&quot;* &quot;-&quot;??_);_(@_)"/>
    <numFmt numFmtId="167" formatCode="mm/dd/yy;@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  <scheme val="minor"/>
    </font>
    <font>
      <b/>
      <sz val="9"/>
      <name val="Arial"/>
      <family val="2"/>
    </font>
    <font>
      <sz val="10"/>
      <color indexed="8"/>
      <name val="MS Sans Serif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Times New Roman"/>
      <family val="1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0"/>
    <xf numFmtId="0" fontId="5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</cellStyleXfs>
  <cellXfs count="26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5" fillId="0" borderId="0" xfId="0" applyFont="1"/>
    <xf numFmtId="0" fontId="3" fillId="0" borderId="0" xfId="0" applyFont="1"/>
    <xf numFmtId="0" fontId="6" fillId="0" borderId="0" xfId="0" applyFont="1"/>
    <xf numFmtId="165" fontId="5" fillId="0" borderId="0" xfId="0" applyNumberFormat="1" applyFont="1"/>
    <xf numFmtId="165" fontId="6" fillId="0" borderId="0" xfId="0" applyNumberFormat="1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164" fontId="7" fillId="0" borderId="0" xfId="1" applyNumberFormat="1" applyFont="1"/>
    <xf numFmtId="164" fontId="6" fillId="0" borderId="0" xfId="1" applyNumberFormat="1" applyFont="1"/>
    <xf numFmtId="164" fontId="5" fillId="0" borderId="0" xfId="1" applyNumberFormat="1" applyFont="1"/>
    <xf numFmtId="164" fontId="5" fillId="0" borderId="2" xfId="1" applyNumberFormat="1" applyFont="1" applyBorder="1"/>
    <xf numFmtId="164" fontId="5" fillId="0" borderId="1" xfId="1" applyNumberFormat="1" applyFont="1" applyBorder="1"/>
    <xf numFmtId="164" fontId="6" fillId="0" borderId="1" xfId="1" applyNumberFormat="1" applyFont="1" applyBorder="1"/>
    <xf numFmtId="0" fontId="3" fillId="0" borderId="0" xfId="0" applyFont="1" applyAlignment="1">
      <alignment horizontal="right"/>
    </xf>
    <xf numFmtId="9" fontId="0" fillId="0" borderId="0" xfId="0" applyNumberForma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left" wrapText="1"/>
    </xf>
    <xf numFmtId="43" fontId="1" fillId="0" borderId="0" xfId="1" applyFont="1"/>
    <xf numFmtId="43" fontId="1" fillId="0" borderId="0" xfId="1" applyFont="1" applyBorder="1"/>
    <xf numFmtId="44" fontId="1" fillId="0" borderId="0" xfId="2" applyFont="1"/>
    <xf numFmtId="43" fontId="1" fillId="0" borderId="0" xfId="1" applyFont="1" applyAlignment="1"/>
    <xf numFmtId="43" fontId="1" fillId="0" borderId="0" xfId="1" applyFont="1" applyBorder="1" applyAlignment="1"/>
    <xf numFmtId="43" fontId="1" fillId="0" borderId="1" xfId="1" applyFont="1" applyBorder="1"/>
    <xf numFmtId="44" fontId="1" fillId="0" borderId="1" xfId="2" applyFont="1" applyBorder="1"/>
    <xf numFmtId="43" fontId="0" fillId="0" borderId="0" xfId="1" applyFont="1"/>
    <xf numFmtId="165" fontId="5" fillId="0" borderId="0" xfId="0" applyNumberFormat="1" applyFont="1" applyAlignment="1">
      <alignment horizontal="left"/>
    </xf>
    <xf numFmtId="166" fontId="0" fillId="0" borderId="0" xfId="0" applyNumberFormat="1"/>
    <xf numFmtId="164" fontId="6" fillId="0" borderId="11" xfId="3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164" fontId="6" fillId="0" borderId="11" xfId="3" applyNumberFormat="1" applyFont="1" applyFill="1" applyBorder="1" applyAlignment="1">
      <alignment horizontal="center" wrapText="1"/>
    </xf>
    <xf numFmtId="164" fontId="6" fillId="0" borderId="0" xfId="3" applyNumberFormat="1" applyFont="1" applyFill="1" applyBorder="1" applyAlignment="1">
      <alignment horizontal="center" wrapText="1"/>
    </xf>
    <xf numFmtId="164" fontId="5" fillId="0" borderId="0" xfId="1" applyNumberFormat="1" applyFont="1" applyBorder="1"/>
    <xf numFmtId="0" fontId="3" fillId="0" borderId="22" xfId="0" applyFont="1" applyBorder="1"/>
    <xf numFmtId="43" fontId="2" fillId="0" borderId="22" xfId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left"/>
    </xf>
    <xf numFmtId="166" fontId="1" fillId="0" borderId="24" xfId="2" applyNumberFormat="1" applyFont="1" applyBorder="1"/>
    <xf numFmtId="10" fontId="0" fillId="0" borderId="24" xfId="0" applyNumberFormat="1" applyBorder="1"/>
    <xf numFmtId="166" fontId="0" fillId="0" borderId="24" xfId="0" applyNumberFormat="1" applyBorder="1"/>
    <xf numFmtId="164" fontId="1" fillId="3" borderId="25" xfId="1" applyNumberFormat="1" applyFont="1" applyFill="1" applyBorder="1"/>
    <xf numFmtId="0" fontId="0" fillId="0" borderId="26" xfId="0" applyBorder="1" applyAlignment="1">
      <alignment horizontal="left"/>
    </xf>
    <xf numFmtId="164" fontId="1" fillId="0" borderId="0" xfId="1" applyNumberFormat="1" applyFont="1" applyBorder="1"/>
    <xf numFmtId="10" fontId="0" fillId="0" borderId="0" xfId="0" applyNumberFormat="1"/>
    <xf numFmtId="164" fontId="0" fillId="0" borderId="0" xfId="1" applyNumberFormat="1" applyFont="1" applyBorder="1"/>
    <xf numFmtId="164" fontId="1" fillId="3" borderId="27" xfId="1" applyNumberFormat="1" applyFont="1" applyFill="1" applyBorder="1"/>
    <xf numFmtId="0" fontId="0" fillId="0" borderId="26" xfId="0" applyBorder="1" applyAlignment="1">
      <alignment horizontal="left" wrapText="1"/>
    </xf>
    <xf numFmtId="164" fontId="1" fillId="0" borderId="0" xfId="1" applyNumberFormat="1" applyFont="1" applyBorder="1" applyAlignment="1"/>
    <xf numFmtId="0" fontId="3" fillId="0" borderId="28" xfId="0" applyFont="1" applyBorder="1" applyAlignment="1">
      <alignment horizontal="right"/>
    </xf>
    <xf numFmtId="43" fontId="0" fillId="0" borderId="11" xfId="1" applyFont="1" applyBorder="1"/>
    <xf numFmtId="44" fontId="0" fillId="6" borderId="24" xfId="0" applyNumberFormat="1" applyFill="1" applyBorder="1"/>
    <xf numFmtId="43" fontId="0" fillId="6" borderId="0" xfId="1" applyFont="1" applyFill="1" applyBorder="1"/>
    <xf numFmtId="0" fontId="0" fillId="6" borderId="11" xfId="0" applyFill="1" applyBorder="1"/>
    <xf numFmtId="164" fontId="11" fillId="0" borderId="0" xfId="1" applyNumberFormat="1" applyFont="1" applyFill="1" applyBorder="1"/>
    <xf numFmtId="0" fontId="13" fillId="0" borderId="0" xfId="0" applyFont="1"/>
    <xf numFmtId="164" fontId="13" fillId="0" borderId="0" xfId="1" applyNumberFormat="1" applyFont="1"/>
    <xf numFmtId="0" fontId="13" fillId="0" borderId="0" xfId="0" applyFont="1" applyAlignment="1">
      <alignment horizontal="left"/>
    </xf>
    <xf numFmtId="165" fontId="13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11" xfId="0" applyFont="1" applyBorder="1" applyAlignment="1">
      <alignment horizontal="left"/>
    </xf>
    <xf numFmtId="165" fontId="14" fillId="0" borderId="11" xfId="0" applyNumberFormat="1" applyFont="1" applyBorder="1" applyAlignment="1">
      <alignment horizontal="left"/>
    </xf>
    <xf numFmtId="0" fontId="14" fillId="0" borderId="13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4" fillId="0" borderId="15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5" borderId="0" xfId="0" applyFont="1" applyFill="1" applyAlignment="1">
      <alignment horizontal="center" wrapText="1"/>
    </xf>
    <xf numFmtId="43" fontId="13" fillId="0" borderId="0" xfId="1" applyFont="1" applyFill="1" applyAlignment="1">
      <alignment horizontal="left"/>
    </xf>
    <xf numFmtId="164" fontId="13" fillId="0" borderId="20" xfId="1" applyNumberFormat="1" applyFont="1" applyBorder="1" applyAlignment="1">
      <alignment horizontal="right"/>
    </xf>
    <xf numFmtId="164" fontId="11" fillId="0" borderId="7" xfId="1" applyNumberFormat="1" applyFont="1" applyFill="1" applyBorder="1"/>
    <xf numFmtId="164" fontId="13" fillId="0" borderId="0" xfId="0" applyNumberFormat="1" applyFont="1"/>
    <xf numFmtId="43" fontId="11" fillId="0" borderId="4" xfId="1" applyFont="1" applyFill="1" applyBorder="1"/>
    <xf numFmtId="164" fontId="11" fillId="0" borderId="10" xfId="1" applyNumberFormat="1" applyFont="1" applyFill="1" applyBorder="1"/>
    <xf numFmtId="164" fontId="11" fillId="0" borderId="4" xfId="1" applyNumberFormat="1" applyFont="1" applyFill="1" applyBorder="1"/>
    <xf numFmtId="164" fontId="15" fillId="0" borderId="10" xfId="0" applyNumberFormat="1" applyFont="1" applyBorder="1"/>
    <xf numFmtId="164" fontId="13" fillId="0" borderId="0" xfId="1" applyNumberFormat="1" applyFont="1" applyFill="1"/>
    <xf numFmtId="0" fontId="15" fillId="0" borderId="0" xfId="0" applyFont="1" applyAlignment="1">
      <alignment horizontal="left"/>
    </xf>
    <xf numFmtId="165" fontId="15" fillId="0" borderId="0" xfId="0" applyNumberFormat="1" applyFont="1" applyAlignment="1">
      <alignment horizontal="left"/>
    </xf>
    <xf numFmtId="164" fontId="12" fillId="0" borderId="5" xfId="1" applyNumberFormat="1" applyFont="1" applyFill="1" applyBorder="1"/>
    <xf numFmtId="164" fontId="12" fillId="0" borderId="3" xfId="1" applyNumberFormat="1" applyFont="1" applyFill="1" applyBorder="1"/>
    <xf numFmtId="164" fontId="12" fillId="0" borderId="1" xfId="1" applyNumberFormat="1" applyFont="1" applyFill="1" applyBorder="1"/>
    <xf numFmtId="164" fontId="12" fillId="0" borderId="6" xfId="1" applyNumberFormat="1" applyFont="1" applyFill="1" applyBorder="1"/>
    <xf numFmtId="164" fontId="15" fillId="0" borderId="1" xfId="0" applyNumberFormat="1" applyFont="1" applyBorder="1"/>
    <xf numFmtId="164" fontId="15" fillId="0" borderId="1" xfId="1" applyNumberFormat="1" applyFont="1" applyFill="1" applyBorder="1"/>
    <xf numFmtId="0" fontId="15" fillId="0" borderId="0" xfId="0" applyFont="1"/>
    <xf numFmtId="9" fontId="11" fillId="0" borderId="4" xfId="1" applyNumberFormat="1" applyFont="1" applyFill="1" applyBorder="1"/>
    <xf numFmtId="9" fontId="11" fillId="0" borderId="0" xfId="1" applyNumberFormat="1" applyFont="1" applyFill="1" applyBorder="1"/>
    <xf numFmtId="0" fontId="13" fillId="0" borderId="10" xfId="0" applyFont="1" applyBorder="1"/>
    <xf numFmtId="0" fontId="13" fillId="0" borderId="7" xfId="0" applyFont="1" applyBorder="1"/>
    <xf numFmtId="0" fontId="13" fillId="0" borderId="4" xfId="0" applyFont="1" applyBorder="1"/>
    <xf numFmtId="164" fontId="13" fillId="0" borderId="7" xfId="0" applyNumberFormat="1" applyFont="1" applyBorder="1"/>
    <xf numFmtId="164" fontId="13" fillId="0" borderId="10" xfId="0" applyNumberFormat="1" applyFont="1" applyBorder="1"/>
    <xf numFmtId="164" fontId="12" fillId="0" borderId="0" xfId="1" applyNumberFormat="1" applyFont="1" applyFill="1" applyBorder="1"/>
    <xf numFmtId="164" fontId="15" fillId="0" borderId="6" xfId="0" applyNumberFormat="1" applyFont="1" applyBorder="1"/>
    <xf numFmtId="164" fontId="12" fillId="0" borderId="18" xfId="1" applyNumberFormat="1" applyFont="1" applyFill="1" applyBorder="1"/>
    <xf numFmtId="164" fontId="12" fillId="0" borderId="21" xfId="1" applyNumberFormat="1" applyFont="1" applyFill="1" applyBorder="1"/>
    <xf numFmtId="164" fontId="12" fillId="0" borderId="14" xfId="1" applyNumberFormat="1" applyFont="1" applyFill="1" applyBorder="1"/>
    <xf numFmtId="164" fontId="15" fillId="0" borderId="18" xfId="0" applyNumberFormat="1" applyFont="1" applyBorder="1"/>
    <xf numFmtId="164" fontId="12" fillId="0" borderId="8" xfId="1" applyNumberFormat="1" applyFont="1" applyFill="1" applyBorder="1"/>
    <xf numFmtId="164" fontId="12" fillId="0" borderId="2" xfId="1" applyNumberFormat="1" applyFont="1" applyFill="1" applyBorder="1"/>
    <xf numFmtId="164" fontId="12" fillId="5" borderId="1" xfId="1" applyNumberFormat="1" applyFont="1" applyFill="1" applyBorder="1"/>
    <xf numFmtId="164" fontId="12" fillId="4" borderId="1" xfId="1" applyNumberFormat="1" applyFont="1" applyFill="1" applyBorder="1"/>
    <xf numFmtId="164" fontId="12" fillId="0" borderId="10" xfId="1" applyNumberFormat="1" applyFont="1" applyFill="1" applyBorder="1"/>
    <xf numFmtId="164" fontId="13" fillId="0" borderId="10" xfId="1" applyNumberFormat="1" applyFont="1" applyBorder="1"/>
    <xf numFmtId="43" fontId="13" fillId="0" borderId="0" xfId="1" applyFont="1"/>
    <xf numFmtId="43" fontId="13" fillId="0" borderId="0" xfId="0" applyNumberFormat="1" applyFont="1"/>
    <xf numFmtId="0" fontId="13" fillId="2" borderId="19" xfId="0" applyFont="1" applyFill="1" applyBorder="1"/>
    <xf numFmtId="0" fontId="13" fillId="2" borderId="18" xfId="0" applyFont="1" applyFill="1" applyBorder="1"/>
    <xf numFmtId="164" fontId="11" fillId="0" borderId="0" xfId="1" applyNumberFormat="1" applyFont="1" applyFill="1"/>
    <xf numFmtId="0" fontId="13" fillId="2" borderId="7" xfId="0" applyFont="1" applyFill="1" applyBorder="1"/>
    <xf numFmtId="0" fontId="13" fillId="2" borderId="10" xfId="0" applyFont="1" applyFill="1" applyBorder="1"/>
    <xf numFmtId="164" fontId="11" fillId="2" borderId="7" xfId="1" applyNumberFormat="1" applyFont="1" applyFill="1" applyBorder="1"/>
    <xf numFmtId="164" fontId="11" fillId="0" borderId="0" xfId="3" applyNumberFormat="1" applyFont="1" applyFill="1"/>
    <xf numFmtId="164" fontId="11" fillId="0" borderId="3" xfId="1" applyNumberFormat="1" applyFont="1" applyFill="1" applyBorder="1"/>
    <xf numFmtId="164" fontId="11" fillId="0" borderId="1" xfId="1" applyNumberFormat="1" applyFont="1" applyFill="1" applyBorder="1"/>
    <xf numFmtId="164" fontId="11" fillId="0" borderId="14" xfId="1" applyNumberFormat="1" applyFont="1" applyFill="1" applyBorder="1"/>
    <xf numFmtId="164" fontId="11" fillId="0" borderId="6" xfId="1" applyNumberFormat="1" applyFont="1" applyFill="1" applyBorder="1"/>
    <xf numFmtId="164" fontId="13" fillId="0" borderId="1" xfId="1" applyNumberFormat="1" applyFont="1" applyFill="1" applyBorder="1"/>
    <xf numFmtId="0" fontId="15" fillId="2" borderId="4" xfId="0" applyFont="1" applyFill="1" applyBorder="1"/>
    <xf numFmtId="0" fontId="15" fillId="2" borderId="7" xfId="0" applyFont="1" applyFill="1" applyBorder="1"/>
    <xf numFmtId="0" fontId="15" fillId="2" borderId="10" xfId="0" applyFont="1" applyFill="1" applyBorder="1"/>
    <xf numFmtId="164" fontId="12" fillId="0" borderId="17" xfId="1" applyNumberFormat="1" applyFont="1" applyFill="1" applyBorder="1"/>
    <xf numFmtId="164" fontId="15" fillId="0" borderId="0" xfId="0" applyNumberFormat="1" applyFont="1"/>
    <xf numFmtId="0" fontId="15" fillId="2" borderId="8" xfId="0" applyFont="1" applyFill="1" applyBorder="1"/>
    <xf numFmtId="0" fontId="15" fillId="2" borderId="9" xfId="0" applyFont="1" applyFill="1" applyBorder="1"/>
    <xf numFmtId="0" fontId="15" fillId="2" borderId="17" xfId="0" applyFont="1" applyFill="1" applyBorder="1"/>
    <xf numFmtId="164" fontId="15" fillId="0" borderId="8" xfId="0" applyNumberFormat="1" applyFont="1" applyBorder="1"/>
    <xf numFmtId="164" fontId="15" fillId="0" borderId="2" xfId="0" applyNumberFormat="1" applyFont="1" applyBorder="1"/>
    <xf numFmtId="164" fontId="15" fillId="0" borderId="17" xfId="0" applyNumberFormat="1" applyFont="1" applyBorder="1"/>
    <xf numFmtId="164" fontId="13" fillId="0" borderId="1" xfId="0" applyNumberFormat="1" applyFont="1" applyBorder="1"/>
    <xf numFmtId="164" fontId="13" fillId="0" borderId="3" xfId="0" applyNumberFormat="1" applyFont="1" applyBorder="1"/>
    <xf numFmtId="165" fontId="12" fillId="0" borderId="0" xfId="0" applyNumberFormat="1" applyFont="1" applyAlignment="1">
      <alignment horizontal="left"/>
    </xf>
    <xf numFmtId="0" fontId="12" fillId="0" borderId="0" xfId="0" applyFont="1"/>
    <xf numFmtId="164" fontId="12" fillId="0" borderId="0" xfId="0" applyNumberFormat="1" applyFont="1"/>
    <xf numFmtId="0" fontId="12" fillId="0" borderId="0" xfId="0" applyFont="1" applyAlignment="1">
      <alignment horizontal="left"/>
    </xf>
    <xf numFmtId="165" fontId="16" fillId="0" borderId="0" xfId="0" applyNumberFormat="1" applyFont="1" applyAlignment="1">
      <alignment horizontal="left"/>
    </xf>
    <xf numFmtId="44" fontId="13" fillId="0" borderId="0" xfId="2" applyFont="1" applyFill="1"/>
    <xf numFmtId="164" fontId="13" fillId="0" borderId="0" xfId="1" applyNumberFormat="1" applyFont="1" applyFill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164" fontId="12" fillId="0" borderId="11" xfId="1" applyNumberFormat="1" applyFont="1" applyFill="1" applyBorder="1" applyAlignment="1">
      <alignment horizontal="center" wrapText="1"/>
    </xf>
    <xf numFmtId="164" fontId="11" fillId="0" borderId="0" xfId="3" applyNumberFormat="1" applyFont="1" applyBorder="1"/>
    <xf numFmtId="164" fontId="11" fillId="0" borderId="0" xfId="3" applyNumberFormat="1" applyFont="1"/>
    <xf numFmtId="164" fontId="11" fillId="0" borderId="0" xfId="3" applyNumberFormat="1" applyFont="1" applyFill="1" applyBorder="1"/>
    <xf numFmtId="0" fontId="13" fillId="0" borderId="0" xfId="0" applyFont="1" applyAlignment="1">
      <alignment horizontal="right"/>
    </xf>
    <xf numFmtId="164" fontId="11" fillId="0" borderId="1" xfId="3" applyNumberFormat="1" applyFont="1" applyFill="1" applyBorder="1"/>
    <xf numFmtId="164" fontId="11" fillId="0" borderId="1" xfId="3" applyNumberFormat="1" applyFont="1" applyBorder="1"/>
    <xf numFmtId="164" fontId="11" fillId="0" borderId="0" xfId="1" applyNumberFormat="1" applyFont="1" applyBorder="1"/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164" fontId="5" fillId="0" borderId="0" xfId="3" applyNumberFormat="1" applyFont="1"/>
    <xf numFmtId="164" fontId="5" fillId="0" borderId="0" xfId="3" applyNumberFormat="1" applyFont="1" applyBorder="1"/>
    <xf numFmtId="164" fontId="5" fillId="0" borderId="0" xfId="3" applyNumberFormat="1" applyFont="1" applyFill="1"/>
    <xf numFmtId="164" fontId="5" fillId="0" borderId="0" xfId="3" applyNumberFormat="1" applyFont="1" applyFill="1" applyBorder="1"/>
    <xf numFmtId="164" fontId="5" fillId="0" borderId="1" xfId="3" applyNumberFormat="1" applyFont="1" applyBorder="1"/>
    <xf numFmtId="164" fontId="5" fillId="0" borderId="1" xfId="3" applyNumberFormat="1" applyFont="1" applyFill="1" applyBorder="1"/>
    <xf numFmtId="7" fontId="17" fillId="0" borderId="0" xfId="11" applyNumberFormat="1" applyFont="1" applyAlignment="1">
      <alignment horizontal="right" vertical="center"/>
    </xf>
    <xf numFmtId="164" fontId="13" fillId="0" borderId="0" xfId="3" applyNumberFormat="1" applyFont="1" applyFill="1"/>
    <xf numFmtId="7" fontId="17" fillId="0" borderId="0" xfId="12" applyNumberFormat="1" applyFont="1" applyAlignment="1">
      <alignment horizontal="right" vertical="center"/>
    </xf>
    <xf numFmtId="43" fontId="13" fillId="0" borderId="0" xfId="6" applyFont="1"/>
    <xf numFmtId="164" fontId="13" fillId="0" borderId="0" xfId="3" applyNumberFormat="1" applyFont="1"/>
    <xf numFmtId="43" fontId="13" fillId="0" borderId="0" xfId="6" applyFont="1" applyBorder="1"/>
    <xf numFmtId="164" fontId="5" fillId="0" borderId="0" xfId="0" applyNumberFormat="1" applyFont="1"/>
    <xf numFmtId="14" fontId="5" fillId="0" borderId="0" xfId="0" applyNumberFormat="1" applyFont="1" applyAlignment="1">
      <alignment horizontal="center"/>
    </xf>
    <xf numFmtId="164" fontId="5" fillId="3" borderId="0" xfId="3" applyNumberFormat="1" applyFont="1" applyFill="1" applyBorder="1"/>
    <xf numFmtId="164" fontId="5" fillId="3" borderId="0" xfId="3" applyNumberFormat="1" applyFont="1" applyFill="1"/>
    <xf numFmtId="0" fontId="6" fillId="0" borderId="0" xfId="0" applyFont="1" applyAlignment="1">
      <alignment horizontal="left"/>
    </xf>
    <xf numFmtId="167" fontId="5" fillId="0" borderId="0" xfId="0" applyNumberFormat="1" applyFont="1" applyAlignment="1">
      <alignment horizontal="center"/>
    </xf>
    <xf numFmtId="0" fontId="18" fillId="0" borderId="0" xfId="0" applyFont="1"/>
    <xf numFmtId="0" fontId="11" fillId="0" borderId="0" xfId="0" applyFont="1"/>
    <xf numFmtId="164" fontId="11" fillId="0" borderId="0" xfId="0" applyNumberFormat="1" applyFont="1"/>
    <xf numFmtId="0" fontId="5" fillId="0" borderId="0" xfId="0" applyFont="1" applyAlignment="1">
      <alignment horizontal="center"/>
    </xf>
    <xf numFmtId="43" fontId="5" fillId="0" borderId="0" xfId="3" applyFont="1"/>
    <xf numFmtId="43" fontId="5" fillId="0" borderId="0" xfId="3" applyFont="1" applyBorder="1"/>
    <xf numFmtId="43" fontId="5" fillId="0" borderId="0" xfId="3" applyFont="1" applyFill="1"/>
    <xf numFmtId="43" fontId="5" fillId="0" borderId="0" xfId="3" applyFont="1" applyFill="1" applyBorder="1"/>
    <xf numFmtId="164" fontId="5" fillId="0" borderId="14" xfId="3" applyNumberFormat="1" applyFont="1" applyBorder="1"/>
    <xf numFmtId="164" fontId="5" fillId="0" borderId="14" xfId="3" applyNumberFormat="1" applyFont="1" applyFill="1" applyBorder="1"/>
    <xf numFmtId="0" fontId="12" fillId="0" borderId="1" xfId="0" applyFont="1" applyBorder="1" applyAlignment="1">
      <alignment horizontal="center"/>
    </xf>
    <xf numFmtId="9" fontId="12" fillId="0" borderId="1" xfId="0" applyNumberFormat="1" applyFont="1" applyBorder="1" applyAlignment="1">
      <alignment horizontal="center"/>
    </xf>
    <xf numFmtId="9" fontId="13" fillId="0" borderId="0" xfId="0" applyNumberFormat="1" applyFont="1"/>
    <xf numFmtId="1" fontId="13" fillId="0" borderId="0" xfId="1" applyNumberFormat="1" applyFont="1" applyAlignment="1">
      <alignment horizontal="center"/>
    </xf>
    <xf numFmtId="1" fontId="13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1" fontId="15" fillId="0" borderId="1" xfId="1" applyNumberFormat="1" applyFont="1" applyBorder="1" applyAlignment="1">
      <alignment horizontal="center"/>
    </xf>
    <xf numFmtId="0" fontId="15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49" fontId="15" fillId="0" borderId="1" xfId="1" applyNumberFormat="1" applyFont="1" applyBorder="1" applyAlignment="1">
      <alignment horizontal="center"/>
    </xf>
    <xf numFmtId="43" fontId="15" fillId="0" borderId="1" xfId="1" applyFont="1" applyBorder="1"/>
    <xf numFmtId="43" fontId="13" fillId="0" borderId="0" xfId="1" applyFont="1" applyBorder="1"/>
    <xf numFmtId="164" fontId="15" fillId="7" borderId="8" xfId="0" applyNumberFormat="1" applyFont="1" applyFill="1" applyBorder="1"/>
    <xf numFmtId="0" fontId="20" fillId="0" borderId="1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1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0" xfId="0" applyFont="1"/>
    <xf numFmtId="164" fontId="21" fillId="0" borderId="0" xfId="3" applyNumberFormat="1" applyFont="1"/>
    <xf numFmtId="164" fontId="21" fillId="0" borderId="0" xfId="3" applyNumberFormat="1" applyFont="1" applyBorder="1"/>
    <xf numFmtId="164" fontId="21" fillId="0" borderId="0" xfId="3" applyNumberFormat="1" applyFont="1" applyFill="1"/>
    <xf numFmtId="164" fontId="21" fillId="3" borderId="0" xfId="3" applyNumberFormat="1" applyFont="1" applyFill="1" applyBorder="1"/>
    <xf numFmtId="164" fontId="21" fillId="0" borderId="0" xfId="3" applyNumberFormat="1" applyFont="1" applyFill="1" applyBorder="1"/>
    <xf numFmtId="0" fontId="21" fillId="0" borderId="0" xfId="0" applyFont="1" applyAlignment="1">
      <alignment horizontal="right"/>
    </xf>
    <xf numFmtId="164" fontId="21" fillId="0" borderId="1" xfId="3" applyNumberFormat="1" applyFont="1" applyBorder="1"/>
    <xf numFmtId="164" fontId="21" fillId="0" borderId="1" xfId="3" applyNumberFormat="1" applyFont="1" applyFill="1" applyBorder="1"/>
    <xf numFmtId="164" fontId="21" fillId="3" borderId="0" xfId="3" applyNumberFormat="1" applyFont="1" applyFill="1"/>
    <xf numFmtId="164" fontId="21" fillId="0" borderId="0" xfId="0" applyNumberFormat="1" applyFont="1"/>
    <xf numFmtId="167" fontId="21" fillId="0" borderId="0" xfId="0" applyNumberFormat="1" applyFont="1"/>
    <xf numFmtId="164" fontId="21" fillId="0" borderId="14" xfId="3" applyNumberFormat="1" applyFont="1" applyBorder="1"/>
    <xf numFmtId="0" fontId="5" fillId="0" borderId="0" xfId="0" quotePrefix="1" applyFont="1"/>
    <xf numFmtId="0" fontId="19" fillId="0" borderId="0" xfId="0" applyFont="1"/>
    <xf numFmtId="164" fontId="15" fillId="7" borderId="2" xfId="0" applyNumberFormat="1" applyFont="1" applyFill="1" applyBorder="1"/>
    <xf numFmtId="0" fontId="15" fillId="5" borderId="0" xfId="0" applyFont="1" applyFill="1" applyAlignment="1">
      <alignment horizontal="center" wrapText="1"/>
    </xf>
    <xf numFmtId="164" fontId="15" fillId="4" borderId="0" xfId="1" applyNumberFormat="1" applyFont="1" applyFill="1" applyAlignment="1">
      <alignment horizontal="center" wrapText="1"/>
    </xf>
    <xf numFmtId="0" fontId="2" fillId="6" borderId="22" xfId="0" applyFont="1" applyFill="1" applyBorder="1" applyAlignment="1">
      <alignment horizontal="center" vertical="center" wrapText="1"/>
    </xf>
    <xf numFmtId="164" fontId="1" fillId="0" borderId="11" xfId="1" applyNumberFormat="1" applyFont="1" applyBorder="1"/>
    <xf numFmtId="164" fontId="0" fillId="0" borderId="11" xfId="1" applyNumberFormat="1" applyFont="1" applyBorder="1"/>
    <xf numFmtId="164" fontId="2" fillId="3" borderId="29" xfId="1" applyNumberFormat="1" applyFont="1" applyFill="1" applyBorder="1"/>
    <xf numFmtId="0" fontId="0" fillId="0" borderId="28" xfId="0" applyBorder="1" applyAlignment="1">
      <alignment horizontal="left" wrapText="1"/>
    </xf>
    <xf numFmtId="10" fontId="0" fillId="0" borderId="11" xfId="0" applyNumberFormat="1" applyBorder="1"/>
    <xf numFmtId="43" fontId="0" fillId="6" borderId="11" xfId="1" applyFont="1" applyFill="1" applyBorder="1"/>
    <xf numFmtId="164" fontId="1" fillId="3" borderId="29" xfId="1" applyNumberFormat="1" applyFont="1" applyFill="1" applyBorder="1"/>
    <xf numFmtId="164" fontId="15" fillId="0" borderId="1" xfId="1" applyNumberFormat="1" applyFont="1" applyBorder="1"/>
    <xf numFmtId="164" fontId="12" fillId="0" borderId="0" xfId="1" applyNumberFormat="1" applyFont="1"/>
    <xf numFmtId="43" fontId="13" fillId="0" borderId="23" xfId="1" applyFont="1" applyBorder="1" applyAlignment="1">
      <alignment horizontal="left"/>
    </xf>
    <xf numFmtId="43" fontId="13" fillId="0" borderId="24" xfId="1" applyFont="1" applyBorder="1" applyAlignment="1">
      <alignment horizontal="left"/>
    </xf>
    <xf numFmtId="43" fontId="13" fillId="0" borderId="24" xfId="1" applyFont="1" applyBorder="1"/>
    <xf numFmtId="164" fontId="13" fillId="0" borderId="25" xfId="1" applyNumberFormat="1" applyFont="1" applyBorder="1"/>
    <xf numFmtId="0" fontId="13" fillId="0" borderId="26" xfId="0" applyFont="1" applyBorder="1" applyAlignment="1">
      <alignment horizontal="left"/>
    </xf>
    <xf numFmtId="43" fontId="13" fillId="0" borderId="0" xfId="1" applyFont="1" applyBorder="1" applyAlignment="1">
      <alignment horizontal="left"/>
    </xf>
    <xf numFmtId="164" fontId="13" fillId="0" borderId="27" xfId="1" applyNumberFormat="1" applyFont="1" applyBorder="1"/>
    <xf numFmtId="43" fontId="13" fillId="0" borderId="26" xfId="1" applyFont="1" applyBorder="1" applyAlignment="1">
      <alignment horizontal="left"/>
    </xf>
    <xf numFmtId="43" fontId="13" fillId="0" borderId="28" xfId="1" applyFont="1" applyBorder="1" applyAlignment="1">
      <alignment horizontal="left"/>
    </xf>
    <xf numFmtId="43" fontId="13" fillId="0" borderId="11" xfId="1" applyFont="1" applyBorder="1" applyAlignment="1">
      <alignment horizontal="left"/>
    </xf>
    <xf numFmtId="43" fontId="13" fillId="0" borderId="11" xfId="1" applyFont="1" applyBorder="1"/>
    <xf numFmtId="164" fontId="13" fillId="0" borderId="29" xfId="1" applyNumberFormat="1" applyFont="1" applyBorder="1"/>
    <xf numFmtId="7" fontId="17" fillId="0" borderId="0" xfId="12" applyNumberFormat="1" applyFont="1"/>
    <xf numFmtId="43" fontId="22" fillId="0" borderId="0" xfId="1" applyFont="1" applyFill="1" applyAlignment="1">
      <alignment horizontal="center"/>
    </xf>
    <xf numFmtId="1" fontId="13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164" fontId="15" fillId="0" borderId="0" xfId="1" applyNumberFormat="1" applyFont="1"/>
    <xf numFmtId="0" fontId="13" fillId="0" borderId="0" xfId="0" applyFont="1" applyAlignment="1">
      <alignment horizontal="left" indent="1"/>
    </xf>
    <xf numFmtId="43" fontId="13" fillId="0" borderId="0" xfId="13" applyFont="1"/>
    <xf numFmtId="0" fontId="13" fillId="0" borderId="0" xfId="0" pivotButton="1" applyFont="1"/>
    <xf numFmtId="43" fontId="13" fillId="0" borderId="0" xfId="13" pivotButton="1" applyFont="1"/>
    <xf numFmtId="1" fontId="23" fillId="0" borderId="1" xfId="1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14">
    <cellStyle name="Comma" xfId="1" builtinId="3"/>
    <cellStyle name="Comma 2" xfId="3" xr:uid="{00000000-0005-0000-0000-000001000000}"/>
    <cellStyle name="Comma 2 6" xfId="4" xr:uid="{00000000-0005-0000-0000-000002000000}"/>
    <cellStyle name="Comma 3" xfId="6" xr:uid="{00000000-0005-0000-0000-000003000000}"/>
    <cellStyle name="Comma 4" xfId="13" xr:uid="{67F63220-C6BB-48B5-B99F-0C97AFDBECA4}"/>
    <cellStyle name="Currency" xfId="2" builtinId="4"/>
    <cellStyle name="Currency 2" xfId="7" xr:uid="{00000000-0005-0000-0000-000005000000}"/>
    <cellStyle name="Normal" xfId="0" builtinId="0"/>
    <cellStyle name="Normal 2" xfId="9" xr:uid="{00000000-0005-0000-0000-000007000000}"/>
    <cellStyle name="Normal 3" xfId="10" xr:uid="{00000000-0005-0000-0000-000008000000}"/>
    <cellStyle name="Normal 4" xfId="5" xr:uid="{00000000-0005-0000-0000-000009000000}"/>
    <cellStyle name="Normal_Sheet1 (2)" xfId="12" xr:uid="{B412ACBF-DA87-4BE0-AFA0-9E0ADFEA4ACC}"/>
    <cellStyle name="Normal_Sheet4" xfId="11" xr:uid="{4D16617F-BEE6-41AD-A164-08BD47C4861A}"/>
    <cellStyle name="Percent 2" xfId="8" xr:uid="{00000000-0005-0000-0000-00000A000000}"/>
  </cellStyles>
  <dxfs count="19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ssociation%20FY2025\Data%20Use%20for%20Actual%20Cost\BUD_OVERVIEW_NTL_BUD_EXP_ACC_855746749_March%202025%20Origina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teef Jimoh" refreshedDate="45778.645843981481" createdVersion="6" refreshedVersion="6" minRefreshableVersion="3" recordCount="157" xr:uid="{52D6DCB2-C7CC-41B1-92CE-F10388AB9A1B}">
  <cacheSource type="worksheet">
    <worksheetSource ref="A1:V158" sheet="Data" r:id="rId2"/>
  </cacheSource>
  <cacheFields count="22">
    <cacheField name="Budget Period" numFmtId="0">
      <sharedItems/>
    </cacheField>
    <cacheField name="Business Unit" numFmtId="0">
      <sharedItems/>
    </cacheField>
    <cacheField name="Budget/exp account" numFmtId="0">
      <sharedItems containsSemiMixedTypes="0" containsString="0" containsNumber="1" containsInteger="1" minValue="51001" maxValue="80050" count="40">
        <n v="80050"/>
        <n v="55004"/>
        <n v="80001"/>
        <n v="52002"/>
        <n v="52253"/>
        <n v="52702"/>
        <n v="51001"/>
        <n v="51004"/>
        <n v="51005"/>
        <n v="51006"/>
        <n v="51107"/>
        <n v="52805"/>
        <n v="52254"/>
        <n v="52352"/>
        <n v="51305"/>
        <n v="52551"/>
        <n v="52809"/>
        <n v="53001"/>
        <n v="54002"/>
        <n v="55006"/>
        <n v="52816"/>
        <n v="52753"/>
        <n v="52052"/>
        <n v="51203"/>
        <n v="52351"/>
        <n v="52752"/>
        <n v="54151"/>
        <n v="55007"/>
        <n v="54205"/>
        <n v="52810"/>
        <n v="51105"/>
        <n v="51401"/>
        <n v="52251"/>
        <n v="52255"/>
        <n v="55010"/>
        <n v="52606"/>
        <n v="52609"/>
        <n v="52801"/>
        <n v="52103"/>
        <n v="52502"/>
      </sharedItems>
    </cacheField>
    <cacheField name="Account Descr" numFmtId="0">
      <sharedItems count="40">
        <s v="Non Personal Service"/>
        <s v="Office Equipment"/>
        <s v="Personal Service"/>
        <s v="Local Travel-PSC Grnd Trans"/>
        <s v="Out of Town-Non PSC Lodging"/>
        <s v="Services - Training"/>
        <s v="Office Supplies"/>
        <s v="Other Supplies"/>
        <s v="Food Services and Catering"/>
        <s v="Maint and Cleaning Supplies"/>
        <s v="Athletic Supplies"/>
        <s v="Services-Catering"/>
        <s v="Out of Town-Non PSC Grnd Trans"/>
        <s v="Conference Conv Seminar PSC"/>
        <s v="Shipping"/>
        <s v="Professional Memberships"/>
        <s v="Services-Temporary"/>
        <s v="Bank, Invmntt Mgmt Cr Crd Fees"/>
        <s v="Maintenance-Computer Equip"/>
        <s v="Computer Hardware"/>
        <s v="Services-Other"/>
        <s v="Promotions Expense"/>
        <s v="Local Travel-NonPSC Grnd Trans"/>
        <s v="Printing &amp; Publishing Services"/>
        <s v="Entertainment"/>
        <s v="Services - Advertising Pub Rel"/>
        <s v="Stipends"/>
        <s v="Computer Software"/>
        <s v="Student MetroCard"/>
        <s v="Services-Other Consulting"/>
        <s v="Other Classroom Supplies"/>
        <s v="Books"/>
        <s v="Out of Town-NonPSC Airfare"/>
        <s v="Out of Town-Non PSC Meals"/>
        <s v="Other Equipment"/>
        <s v="Insurance-Exec Dir Officer"/>
        <s v="Insurance-Other"/>
        <s v="Services-Accounting/Auditing"/>
        <s v="Local Travel-BOT Meals"/>
        <s v="Business Meals"/>
      </sharedItems>
    </cacheField>
    <cacheField name="Dept" numFmtId="0">
      <sharedItems count="12">
        <s v="10074"/>
        <s v="60023"/>
        <s v="60031"/>
        <s v="70073"/>
        <s v="75012"/>
        <s v="75022"/>
        <s v="75055"/>
        <s v="75060"/>
        <s v="75062"/>
        <s v="75064"/>
        <s v="75075"/>
        <s v="80299"/>
      </sharedItems>
    </cacheField>
    <cacheField name="Dept Descr" numFmtId="0">
      <sharedItems count="12">
        <s v="Creative/Performing Arts"/>
        <s v="Center, Performing Arts"/>
        <s v="Center, Film, Radio &amp; TV"/>
        <s v="Study Abroad Program"/>
        <s v="Athletics &amp; Recreation"/>
        <s v="Counseling Center"/>
        <s v="Student Affairs Administration"/>
        <s v="Student Affairs-Life/Devel"/>
        <s v="Student Center/Student Activ"/>
        <s v="Student Development"/>
        <s v="Student Union"/>
        <s v="VP Finance and Administration"/>
      </sharedItems>
    </cacheField>
    <cacheField name="Fund Code" numFmtId="0">
      <sharedItems/>
    </cacheField>
    <cacheField name="Major Purpose" numFmtId="0">
      <sharedItems/>
    </cacheField>
    <cacheField name="Operating Unit" numFmtId="0">
      <sharedItems/>
    </cacheField>
    <cacheField name="Program Code" numFmtId="0">
      <sharedItems count="32">
        <s v="99999"/>
        <s v="14712"/>
        <s v="10005"/>
        <s v="10010"/>
        <s v="10021"/>
        <s v="10026"/>
        <s v="10064"/>
        <s v="10078"/>
        <s v="10113"/>
        <s v="14137"/>
        <s v="14158"/>
        <s v="14159"/>
        <s v="14439"/>
        <s v="80433"/>
        <s v="10027"/>
        <s v="10032"/>
        <s v="10035"/>
        <s v="10037"/>
        <s v="10055"/>
        <s v="10062"/>
        <s v="10089"/>
        <s v="10090"/>
        <s v="14032"/>
        <s v="14034"/>
        <s v="14082"/>
        <s v="14085"/>
        <s v="14097"/>
        <s v="14105"/>
        <s v="14108"/>
        <s v="14110"/>
        <s v="14119"/>
        <s v="14120"/>
      </sharedItems>
    </cacheField>
    <cacheField name="Program Descr" numFmtId="0">
      <sharedItems count="32">
        <s v="PC not applicable"/>
        <s v="General Athletics"/>
        <s v="African Student Association Cl"/>
        <s v="Balck History Heritage Society"/>
        <s v="Career Services"/>
        <s v="Chinese Student Association"/>
        <s v="Hispanic Cultural"/>
        <s v="Leadership Conference"/>
        <s v="Special Projects"/>
        <s v="Pandora's Box"/>
        <s v="Commencement"/>
        <s v="Student Orientaton"/>
        <s v="Health Services"/>
        <s v="Mental Health Initiative"/>
        <s v="Choral Festival"/>
        <s v="Computer"/>
        <s v="Cultural Diversity"/>
        <s v="Disabled Students"/>
        <s v="Future Teachers"/>
        <s v="Haitian Student Association"/>
        <s v="Music Discipline"/>
        <s v="Muslim Student Association"/>
        <s v="Aviation Club"/>
        <s v="African Student Association"/>
        <s v="YSOTA"/>
        <s v="Pre Med Club"/>
        <s v="Impact Club"/>
        <s v="Clinical Lab Club"/>
        <s v="Social Work Club"/>
        <s v="Nursing Club"/>
        <s v="N.A.B.A. Club"/>
        <s v="Anime Club"/>
      </sharedItems>
    </cacheField>
    <cacheField name="Funding Source" numFmtId="0">
      <sharedItems/>
    </cacheField>
    <cacheField name="Funding Source Descr" numFmtId="0">
      <sharedItems/>
    </cacheField>
    <cacheField name="Special Initiatives" numFmtId="0">
      <sharedItems/>
    </cacheField>
    <cacheField name="Available Budget" numFmtId="2">
      <sharedItems containsSemiMixedTypes="0" containsString="0" containsNumber="1" minValue="0" maxValue="185687.33"/>
    </cacheField>
    <cacheField name="Allocated Budget" numFmtId="2">
      <sharedItems containsSemiMixedTypes="0" containsString="0" containsNumber="1" minValue="0" maxValue="375880.21"/>
    </cacheField>
    <cacheField name="Pre-Encumbrances" numFmtId="2">
      <sharedItems containsSemiMixedTypes="0" containsString="0" containsNumber="1" minValue="0" maxValue="29362.34"/>
    </cacheField>
    <cacheField name="Encumbrances" numFmtId="2">
      <sharedItems containsSemiMixedTypes="0" containsString="0" containsNumber="1" minValue="0" maxValue="49803.62"/>
    </cacheField>
    <cacheField name="Expenditures" numFmtId="2">
      <sharedItems containsSemiMixedTypes="0" containsString="0" containsNumber="1" minValue="0" maxValue="218218.8"/>
    </cacheField>
    <cacheField name="Rollup" numFmtId="0">
      <sharedItems/>
    </cacheField>
    <cacheField name="Budget Account" numFmtId="0">
      <sharedItems/>
    </cacheField>
    <cacheField name="PS/OTP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7">
  <r>
    <s v="2025"/>
    <s v="YRK03"/>
    <x v="0"/>
    <x v="0"/>
    <x v="0"/>
    <x v="0"/>
    <s v="12"/>
    <s v="300"/>
    <s v="9999"/>
    <x v="0"/>
    <x v="0"/>
    <s v="999999"/>
    <s v="FS not applicable"/>
    <s v="9999"/>
    <n v="10324"/>
    <n v="15324"/>
    <n v="0"/>
    <n v="5000"/>
    <n v="0"/>
    <s v="80000"/>
    <s v="80050"/>
    <s v="Y"/>
  </r>
  <r>
    <s v="2025"/>
    <s v="YRK03"/>
    <x v="1"/>
    <x v="1"/>
    <x v="0"/>
    <x v="0"/>
    <s v="12"/>
    <s v="300"/>
    <s v="9999"/>
    <x v="0"/>
    <x v="0"/>
    <s v="999999"/>
    <s v="FS not applicable"/>
    <s v="9999"/>
    <n v="0"/>
    <n v="0"/>
    <n v="0"/>
    <n v="5000"/>
    <n v="0"/>
    <s v="80123"/>
    <s v="80123"/>
    <s v="Y"/>
  </r>
  <r>
    <s v="2025"/>
    <s v="YRK03"/>
    <x v="0"/>
    <x v="0"/>
    <x v="1"/>
    <x v="1"/>
    <s v="12"/>
    <s v="300"/>
    <s v="9999"/>
    <x v="0"/>
    <x v="0"/>
    <s v="999999"/>
    <s v="FS not applicable"/>
    <s v="9999"/>
    <n v="11493"/>
    <n v="11493"/>
    <n v="0"/>
    <n v="0"/>
    <n v="0"/>
    <s v="80000"/>
    <s v="80050"/>
    <s v="Y"/>
  </r>
  <r>
    <s v="2025"/>
    <s v="YRK03"/>
    <x v="2"/>
    <x v="2"/>
    <x v="2"/>
    <x v="2"/>
    <s v="12"/>
    <s v="300"/>
    <s v="9999"/>
    <x v="0"/>
    <x v="0"/>
    <s v="999999"/>
    <s v="FS not applicable"/>
    <s v="9999"/>
    <n v="44574"/>
    <n v="44574"/>
    <n v="0"/>
    <n v="0"/>
    <n v="0"/>
    <s v="80000"/>
    <s v="80001"/>
    <s v="Y"/>
  </r>
  <r>
    <s v="2025"/>
    <s v="YRK03"/>
    <x v="0"/>
    <x v="0"/>
    <x v="2"/>
    <x v="2"/>
    <s v="12"/>
    <s v="300"/>
    <s v="9999"/>
    <x v="0"/>
    <x v="0"/>
    <s v="999999"/>
    <s v="FS not applicable"/>
    <s v="9999"/>
    <n v="5779.56"/>
    <n v="18253"/>
    <n v="111"/>
    <n v="2922.52"/>
    <n v="9439.92"/>
    <s v="80000"/>
    <s v="80050"/>
    <s v="Y"/>
  </r>
  <r>
    <s v="2025"/>
    <s v="YRK03"/>
    <x v="1"/>
    <x v="1"/>
    <x v="2"/>
    <x v="2"/>
    <s v="12"/>
    <s v="300"/>
    <s v="9999"/>
    <x v="0"/>
    <x v="0"/>
    <s v="999999"/>
    <s v="FS not applicable"/>
    <s v="9999"/>
    <n v="0"/>
    <n v="0"/>
    <n v="111"/>
    <n v="2922.52"/>
    <n v="9439.92"/>
    <s v="80123"/>
    <s v="80123"/>
    <s v="Y"/>
  </r>
  <r>
    <s v="2025"/>
    <s v="YRK03"/>
    <x v="0"/>
    <x v="0"/>
    <x v="3"/>
    <x v="3"/>
    <s v="12"/>
    <s v="300"/>
    <s v="9999"/>
    <x v="0"/>
    <x v="0"/>
    <s v="999999"/>
    <s v="FS not applicable"/>
    <s v="9999"/>
    <n v="25138"/>
    <n v="28002"/>
    <n v="2864"/>
    <n v="0"/>
    <n v="0"/>
    <s v="80000"/>
    <s v="80050"/>
    <s v="Y"/>
  </r>
  <r>
    <s v="2025"/>
    <s v="YRK03"/>
    <x v="3"/>
    <x v="3"/>
    <x v="3"/>
    <x v="3"/>
    <s v="12"/>
    <s v="300"/>
    <s v="9999"/>
    <x v="0"/>
    <x v="0"/>
    <s v="999999"/>
    <s v="FS not applicable"/>
    <s v="9999"/>
    <n v="0"/>
    <n v="0"/>
    <n v="1698"/>
    <n v="0"/>
    <n v="0"/>
    <s v="80121"/>
    <s v="80121"/>
    <s v="Y"/>
  </r>
  <r>
    <s v="2025"/>
    <s v="YRK03"/>
    <x v="4"/>
    <x v="4"/>
    <x v="3"/>
    <x v="3"/>
    <s v="12"/>
    <s v="300"/>
    <s v="9999"/>
    <x v="0"/>
    <x v="0"/>
    <s v="999999"/>
    <s v="FS not applicable"/>
    <s v="9999"/>
    <n v="0"/>
    <n v="0"/>
    <n v="306"/>
    <n v="0"/>
    <n v="0"/>
    <s v="80121"/>
    <s v="80121"/>
    <s v="Y"/>
  </r>
  <r>
    <s v="2025"/>
    <s v="YRK03"/>
    <x v="5"/>
    <x v="5"/>
    <x v="3"/>
    <x v="3"/>
    <s v="12"/>
    <s v="300"/>
    <s v="9999"/>
    <x v="0"/>
    <x v="0"/>
    <s v="999999"/>
    <s v="FS not applicable"/>
    <s v="9999"/>
    <n v="0"/>
    <n v="0"/>
    <n v="860"/>
    <n v="0"/>
    <n v="0"/>
    <s v="80122"/>
    <s v="80122"/>
    <s v="Y"/>
  </r>
  <r>
    <s v="2025"/>
    <s v="YRK03"/>
    <x v="0"/>
    <x v="0"/>
    <x v="4"/>
    <x v="4"/>
    <s v="12"/>
    <s v="300"/>
    <s v="9999"/>
    <x v="1"/>
    <x v="1"/>
    <s v="999999"/>
    <s v="FS not applicable"/>
    <s v="9999"/>
    <n v="32471.57"/>
    <n v="290000"/>
    <n v="16102.32"/>
    <n v="23207.31"/>
    <n v="218218.8"/>
    <s v="80000"/>
    <s v="80050"/>
    <s v="Y"/>
  </r>
  <r>
    <s v="2025"/>
    <s v="YRK03"/>
    <x v="6"/>
    <x v="6"/>
    <x v="4"/>
    <x v="4"/>
    <s v="12"/>
    <s v="300"/>
    <s v="9999"/>
    <x v="1"/>
    <x v="1"/>
    <s v="999999"/>
    <s v="FS not applicable"/>
    <s v="9999"/>
    <n v="0"/>
    <n v="0"/>
    <n v="176.78"/>
    <n v="0"/>
    <n v="87.78"/>
    <s v="80120"/>
    <s v="80120"/>
    <s v="Y"/>
  </r>
  <r>
    <s v="2025"/>
    <s v="YRK03"/>
    <x v="7"/>
    <x v="7"/>
    <x v="4"/>
    <x v="4"/>
    <s v="12"/>
    <s v="300"/>
    <s v="9999"/>
    <x v="1"/>
    <x v="1"/>
    <s v="999999"/>
    <s v="FS not applicable"/>
    <s v="9999"/>
    <n v="0"/>
    <n v="0"/>
    <n v="0"/>
    <n v="1390"/>
    <n v="44.97"/>
    <s v="80120"/>
    <s v="80120"/>
    <s v="Y"/>
  </r>
  <r>
    <s v="2025"/>
    <s v="YRK03"/>
    <x v="8"/>
    <x v="8"/>
    <x v="4"/>
    <x v="4"/>
    <s v="12"/>
    <s v="300"/>
    <s v="9999"/>
    <x v="1"/>
    <x v="1"/>
    <s v="999999"/>
    <s v="FS not applicable"/>
    <s v="9999"/>
    <n v="0"/>
    <n v="0"/>
    <n v="0"/>
    <n v="3958.75"/>
    <n v="8386"/>
    <s v="80120"/>
    <s v="80120"/>
    <s v="Y"/>
  </r>
  <r>
    <s v="2025"/>
    <s v="YRK03"/>
    <x v="9"/>
    <x v="9"/>
    <x v="4"/>
    <x v="4"/>
    <s v="12"/>
    <s v="300"/>
    <s v="9999"/>
    <x v="1"/>
    <x v="1"/>
    <s v="999999"/>
    <s v="FS not applicable"/>
    <s v="9999"/>
    <n v="0"/>
    <n v="0"/>
    <n v="0"/>
    <n v="0"/>
    <n v="9.9499999999999993"/>
    <s v="80120"/>
    <s v="80120"/>
    <s v="Y"/>
  </r>
  <r>
    <s v="2025"/>
    <s v="YRK03"/>
    <x v="10"/>
    <x v="10"/>
    <x v="4"/>
    <x v="4"/>
    <s v="12"/>
    <s v="300"/>
    <s v="9999"/>
    <x v="1"/>
    <x v="1"/>
    <s v="999999"/>
    <s v="FS not applicable"/>
    <s v="9999"/>
    <n v="0"/>
    <n v="0"/>
    <n v="13750.54"/>
    <n v="5031.25"/>
    <n v="31576.68"/>
    <s v="80120"/>
    <s v="80120"/>
    <s v="Y"/>
  </r>
  <r>
    <s v="2025"/>
    <s v="YRK03"/>
    <x v="11"/>
    <x v="11"/>
    <x v="4"/>
    <x v="4"/>
    <s v="12"/>
    <s v="300"/>
    <s v="9999"/>
    <x v="1"/>
    <x v="1"/>
    <s v="999999"/>
    <s v="FS not applicable"/>
    <s v="9999"/>
    <n v="0"/>
    <n v="0"/>
    <n v="0"/>
    <n v="0"/>
    <n v="265.49"/>
    <s v="80120"/>
    <s v="80120"/>
    <s v="Y"/>
  </r>
  <r>
    <s v="2025"/>
    <s v="YRK03"/>
    <x v="3"/>
    <x v="3"/>
    <x v="4"/>
    <x v="4"/>
    <s v="12"/>
    <s v="300"/>
    <s v="9999"/>
    <x v="1"/>
    <x v="1"/>
    <s v="999999"/>
    <s v="FS not applicable"/>
    <s v="9999"/>
    <n v="0"/>
    <n v="0"/>
    <n v="0"/>
    <n v="4180"/>
    <n v="83768"/>
    <s v="80121"/>
    <s v="80121"/>
    <s v="Y"/>
  </r>
  <r>
    <s v="2025"/>
    <s v="YRK03"/>
    <x v="12"/>
    <x v="12"/>
    <x v="4"/>
    <x v="4"/>
    <s v="12"/>
    <s v="300"/>
    <s v="9999"/>
    <x v="1"/>
    <x v="1"/>
    <s v="999999"/>
    <s v="FS not applicable"/>
    <s v="9999"/>
    <n v="0"/>
    <n v="0"/>
    <n v="0"/>
    <n v="0"/>
    <n v="238.56"/>
    <s v="80121"/>
    <s v="80121"/>
    <s v="Y"/>
  </r>
  <r>
    <s v="2025"/>
    <s v="YRK03"/>
    <x v="13"/>
    <x v="13"/>
    <x v="4"/>
    <x v="4"/>
    <s v="12"/>
    <s v="300"/>
    <s v="9999"/>
    <x v="1"/>
    <x v="1"/>
    <s v="999999"/>
    <s v="FS not applicable"/>
    <s v="9999"/>
    <n v="0"/>
    <n v="0"/>
    <n v="0"/>
    <n v="0"/>
    <n v="2388.5700000000002"/>
    <s v="80121"/>
    <s v="80121"/>
    <s v="Y"/>
  </r>
  <r>
    <s v="2025"/>
    <s v="YRK03"/>
    <x v="14"/>
    <x v="14"/>
    <x v="4"/>
    <x v="4"/>
    <s v="12"/>
    <s v="300"/>
    <s v="9999"/>
    <x v="1"/>
    <x v="1"/>
    <s v="999999"/>
    <s v="FS not applicable"/>
    <s v="9999"/>
    <n v="0"/>
    <n v="0"/>
    <n v="70"/>
    <n v="253.35"/>
    <n v="1762.63"/>
    <s v="80122"/>
    <s v="80122"/>
    <s v="Y"/>
  </r>
  <r>
    <s v="2025"/>
    <s v="YRK03"/>
    <x v="15"/>
    <x v="15"/>
    <x v="4"/>
    <x v="4"/>
    <s v="12"/>
    <s v="300"/>
    <s v="9999"/>
    <x v="1"/>
    <x v="1"/>
    <s v="999999"/>
    <s v="FS not applicable"/>
    <s v="9999"/>
    <n v="0"/>
    <n v="0"/>
    <n v="0"/>
    <n v="110"/>
    <n v="13445.33"/>
    <s v="80122"/>
    <s v="80122"/>
    <s v="Y"/>
  </r>
  <r>
    <s v="2025"/>
    <s v="YRK03"/>
    <x v="16"/>
    <x v="16"/>
    <x v="4"/>
    <x v="4"/>
    <s v="12"/>
    <s v="300"/>
    <s v="9999"/>
    <x v="1"/>
    <x v="1"/>
    <s v="999999"/>
    <s v="FS not applicable"/>
    <s v="9999"/>
    <n v="0"/>
    <n v="0"/>
    <n v="2105"/>
    <n v="4726"/>
    <n v="76158.84"/>
    <s v="80122"/>
    <s v="80122"/>
    <s v="Y"/>
  </r>
  <r>
    <s v="2025"/>
    <s v="YRK03"/>
    <x v="17"/>
    <x v="17"/>
    <x v="4"/>
    <x v="4"/>
    <s v="12"/>
    <s v="300"/>
    <s v="9999"/>
    <x v="1"/>
    <x v="1"/>
    <s v="999999"/>
    <s v="FS not applicable"/>
    <s v="9999"/>
    <n v="0"/>
    <n v="0"/>
    <n v="0"/>
    <n v="0"/>
    <n v="86"/>
    <s v="80122"/>
    <s v="80122"/>
    <s v="Y"/>
  </r>
  <r>
    <s v="2025"/>
    <s v="YRK03"/>
    <x v="18"/>
    <x v="18"/>
    <x v="4"/>
    <x v="4"/>
    <s v="12"/>
    <s v="300"/>
    <s v="9999"/>
    <x v="1"/>
    <x v="1"/>
    <s v="999999"/>
    <s v="FS not applicable"/>
    <s v="9999"/>
    <n v="0"/>
    <n v="0"/>
    <n v="0"/>
    <n v="309.43"/>
    <n v="0"/>
    <s v="80122"/>
    <s v="80122"/>
    <s v="Y"/>
  </r>
  <r>
    <s v="2025"/>
    <s v="YRK03"/>
    <x v="19"/>
    <x v="19"/>
    <x v="4"/>
    <x v="4"/>
    <s v="12"/>
    <s v="300"/>
    <s v="9999"/>
    <x v="1"/>
    <x v="1"/>
    <s v="999999"/>
    <s v="FS not applicable"/>
    <s v="9999"/>
    <n v="0"/>
    <n v="0"/>
    <n v="0"/>
    <n v="3248.53"/>
    <n v="0"/>
    <s v="80123"/>
    <s v="80123"/>
    <s v="Y"/>
  </r>
  <r>
    <s v="2025"/>
    <s v="YRK03"/>
    <x v="0"/>
    <x v="0"/>
    <x v="5"/>
    <x v="5"/>
    <s v="12"/>
    <s v="300"/>
    <s v="9999"/>
    <x v="0"/>
    <x v="0"/>
    <s v="999999"/>
    <s v="FS not applicable"/>
    <s v="9999"/>
    <n v="0.92"/>
    <n v="58304"/>
    <n v="0"/>
    <n v="0"/>
    <n v="58303.08"/>
    <s v="80000"/>
    <s v="80050"/>
    <s v="Y"/>
  </r>
  <r>
    <s v="2025"/>
    <s v="YRK03"/>
    <x v="20"/>
    <x v="20"/>
    <x v="5"/>
    <x v="5"/>
    <s v="12"/>
    <s v="300"/>
    <s v="9999"/>
    <x v="0"/>
    <x v="0"/>
    <s v="999999"/>
    <s v="FS not applicable"/>
    <s v="9999"/>
    <n v="0"/>
    <n v="0"/>
    <n v="0"/>
    <n v="0"/>
    <n v="58303.08"/>
    <s v="80122"/>
    <s v="80122"/>
    <s v="Y"/>
  </r>
  <r>
    <s v="2025"/>
    <s v="YRK03"/>
    <x v="0"/>
    <x v="0"/>
    <x v="6"/>
    <x v="6"/>
    <s v="12"/>
    <s v="300"/>
    <s v="9999"/>
    <x v="0"/>
    <x v="0"/>
    <s v="999999"/>
    <s v="FS not applicable"/>
    <s v="9999"/>
    <n v="185687.33"/>
    <n v="375880.21"/>
    <n v="29362.34"/>
    <n v="49803.62"/>
    <n v="111026.92"/>
    <s v="80000"/>
    <s v="80050"/>
    <s v="Y"/>
  </r>
  <r>
    <s v="2025"/>
    <s v="YRK03"/>
    <x v="6"/>
    <x v="6"/>
    <x v="6"/>
    <x v="6"/>
    <s v="12"/>
    <s v="300"/>
    <s v="9999"/>
    <x v="0"/>
    <x v="0"/>
    <s v="999999"/>
    <s v="FS not applicable"/>
    <s v="9999"/>
    <n v="0"/>
    <n v="0"/>
    <n v="0"/>
    <n v="33.24"/>
    <n v="2556.2199999999998"/>
    <s v="80120"/>
    <s v="80120"/>
    <s v="Y"/>
  </r>
  <r>
    <s v="2025"/>
    <s v="YRK03"/>
    <x v="7"/>
    <x v="7"/>
    <x v="6"/>
    <x v="6"/>
    <s v="12"/>
    <s v="300"/>
    <s v="9999"/>
    <x v="0"/>
    <x v="0"/>
    <s v="999999"/>
    <s v="FS not applicable"/>
    <s v="9999"/>
    <n v="0"/>
    <n v="0"/>
    <n v="0"/>
    <n v="0"/>
    <n v="3414.64"/>
    <s v="80120"/>
    <s v="80120"/>
    <s v="Y"/>
  </r>
  <r>
    <s v="2025"/>
    <s v="YRK03"/>
    <x v="8"/>
    <x v="8"/>
    <x v="6"/>
    <x v="6"/>
    <s v="12"/>
    <s v="300"/>
    <s v="9999"/>
    <x v="0"/>
    <x v="0"/>
    <s v="999999"/>
    <s v="FS not applicable"/>
    <s v="9999"/>
    <n v="0"/>
    <n v="0"/>
    <n v="79.98"/>
    <n v="29947.71"/>
    <n v="42584.38"/>
    <s v="80120"/>
    <s v="80120"/>
    <s v="Y"/>
  </r>
  <r>
    <s v="2025"/>
    <s v="YRK03"/>
    <x v="21"/>
    <x v="21"/>
    <x v="6"/>
    <x v="6"/>
    <s v="12"/>
    <s v="300"/>
    <s v="9999"/>
    <x v="0"/>
    <x v="0"/>
    <s v="999999"/>
    <s v="FS not applicable"/>
    <s v="9999"/>
    <n v="0"/>
    <n v="0"/>
    <n v="0"/>
    <n v="3987.86"/>
    <n v="6307.47"/>
    <s v="80120"/>
    <s v="80120"/>
    <s v="Y"/>
  </r>
  <r>
    <s v="2025"/>
    <s v="YRK03"/>
    <x v="11"/>
    <x v="11"/>
    <x v="6"/>
    <x v="6"/>
    <s v="12"/>
    <s v="300"/>
    <s v="9999"/>
    <x v="0"/>
    <x v="0"/>
    <s v="999999"/>
    <s v="FS not applicable"/>
    <s v="9999"/>
    <n v="0"/>
    <n v="0"/>
    <n v="0"/>
    <n v="0"/>
    <n v="54.75"/>
    <s v="80120"/>
    <s v="80120"/>
    <s v="Y"/>
  </r>
  <r>
    <s v="2025"/>
    <s v="YRK03"/>
    <x v="3"/>
    <x v="3"/>
    <x v="6"/>
    <x v="6"/>
    <s v="12"/>
    <s v="300"/>
    <s v="9999"/>
    <x v="0"/>
    <x v="0"/>
    <s v="999999"/>
    <s v="FS not applicable"/>
    <s v="9999"/>
    <n v="0"/>
    <n v="0"/>
    <n v="648"/>
    <n v="2098"/>
    <n v="13186"/>
    <s v="80121"/>
    <s v="80121"/>
    <s v="Y"/>
  </r>
  <r>
    <s v="2025"/>
    <s v="YRK03"/>
    <x v="22"/>
    <x v="22"/>
    <x v="6"/>
    <x v="6"/>
    <s v="12"/>
    <s v="300"/>
    <s v="9999"/>
    <x v="0"/>
    <x v="0"/>
    <s v="999999"/>
    <s v="FS not applicable"/>
    <s v="9999"/>
    <n v="0"/>
    <n v="0"/>
    <n v="0"/>
    <n v="0"/>
    <n v="85.83"/>
    <s v="80121"/>
    <s v="80121"/>
    <s v="Y"/>
  </r>
  <r>
    <s v="2025"/>
    <s v="YRK03"/>
    <x v="4"/>
    <x v="4"/>
    <x v="6"/>
    <x v="6"/>
    <s v="12"/>
    <s v="300"/>
    <s v="9999"/>
    <x v="0"/>
    <x v="0"/>
    <s v="999999"/>
    <s v="FS not applicable"/>
    <s v="9999"/>
    <n v="0"/>
    <n v="0"/>
    <n v="20948.46"/>
    <n v="0"/>
    <n v="0"/>
    <s v="80121"/>
    <s v="80121"/>
    <s v="Y"/>
  </r>
  <r>
    <s v="2025"/>
    <s v="YRK03"/>
    <x v="12"/>
    <x v="12"/>
    <x v="6"/>
    <x v="6"/>
    <s v="12"/>
    <s v="300"/>
    <s v="9999"/>
    <x v="0"/>
    <x v="0"/>
    <s v="999999"/>
    <s v="FS not applicable"/>
    <s v="9999"/>
    <n v="0"/>
    <n v="0"/>
    <n v="0"/>
    <n v="0"/>
    <n v="95.46"/>
    <s v="80121"/>
    <s v="80121"/>
    <s v="Y"/>
  </r>
  <r>
    <s v="2025"/>
    <s v="YRK03"/>
    <x v="23"/>
    <x v="23"/>
    <x v="6"/>
    <x v="6"/>
    <s v="12"/>
    <s v="300"/>
    <s v="9999"/>
    <x v="0"/>
    <x v="0"/>
    <s v="999999"/>
    <s v="FS not applicable"/>
    <s v="9999"/>
    <n v="0"/>
    <n v="0"/>
    <n v="5000"/>
    <n v="7430"/>
    <n v="2769.88"/>
    <s v="80122"/>
    <s v="80122"/>
    <s v="Y"/>
  </r>
  <r>
    <s v="2025"/>
    <s v="YRK03"/>
    <x v="14"/>
    <x v="14"/>
    <x v="6"/>
    <x v="6"/>
    <s v="12"/>
    <s v="300"/>
    <s v="9999"/>
    <x v="0"/>
    <x v="0"/>
    <s v="999999"/>
    <s v="FS not applicable"/>
    <s v="9999"/>
    <n v="0"/>
    <n v="0"/>
    <n v="0"/>
    <n v="806.81"/>
    <n v="688.29"/>
    <s v="80122"/>
    <s v="80122"/>
    <s v="Y"/>
  </r>
  <r>
    <s v="2025"/>
    <s v="YRK03"/>
    <x v="24"/>
    <x v="24"/>
    <x v="6"/>
    <x v="6"/>
    <s v="12"/>
    <s v="300"/>
    <s v="9999"/>
    <x v="0"/>
    <x v="0"/>
    <s v="999999"/>
    <s v="FS not applicable"/>
    <s v="9999"/>
    <n v="0"/>
    <n v="0"/>
    <n v="2685.9"/>
    <n v="0"/>
    <n v="0"/>
    <s v="80122"/>
    <s v="80122"/>
    <s v="Y"/>
  </r>
  <r>
    <s v="2025"/>
    <s v="YRK03"/>
    <x v="15"/>
    <x v="15"/>
    <x v="6"/>
    <x v="6"/>
    <s v="12"/>
    <s v="300"/>
    <s v="9999"/>
    <x v="0"/>
    <x v="0"/>
    <s v="999999"/>
    <s v="FS not applicable"/>
    <s v="9999"/>
    <n v="0"/>
    <n v="0"/>
    <n v="0"/>
    <n v="0"/>
    <n v="994"/>
    <s v="80122"/>
    <s v="80122"/>
    <s v="Y"/>
  </r>
  <r>
    <s v="2025"/>
    <s v="YRK03"/>
    <x v="5"/>
    <x v="5"/>
    <x v="6"/>
    <x v="6"/>
    <s v="12"/>
    <s v="300"/>
    <s v="9999"/>
    <x v="0"/>
    <x v="0"/>
    <s v="999999"/>
    <s v="FS not applicable"/>
    <s v="9999"/>
    <n v="0"/>
    <n v="0"/>
    <n v="0"/>
    <n v="0"/>
    <n v="25940"/>
    <s v="80122"/>
    <s v="80122"/>
    <s v="Y"/>
  </r>
  <r>
    <s v="2025"/>
    <s v="YRK03"/>
    <x v="25"/>
    <x v="25"/>
    <x v="6"/>
    <x v="6"/>
    <s v="12"/>
    <s v="300"/>
    <s v="9999"/>
    <x v="0"/>
    <x v="0"/>
    <s v="999999"/>
    <s v="FS not applicable"/>
    <s v="9999"/>
    <n v="0"/>
    <n v="0"/>
    <n v="0"/>
    <n v="0"/>
    <n v="2300"/>
    <s v="80122"/>
    <s v="80122"/>
    <s v="Y"/>
  </r>
  <r>
    <s v="2025"/>
    <s v="YRK03"/>
    <x v="16"/>
    <x v="16"/>
    <x v="6"/>
    <x v="6"/>
    <s v="12"/>
    <s v="300"/>
    <s v="9999"/>
    <x v="0"/>
    <x v="0"/>
    <s v="999999"/>
    <s v="FS not applicable"/>
    <s v="9999"/>
    <n v="0"/>
    <n v="0"/>
    <n v="0"/>
    <n v="0"/>
    <n v="2250"/>
    <s v="80122"/>
    <s v="80122"/>
    <s v="Y"/>
  </r>
  <r>
    <s v="2025"/>
    <s v="YRK03"/>
    <x v="26"/>
    <x v="26"/>
    <x v="6"/>
    <x v="6"/>
    <s v="12"/>
    <s v="300"/>
    <s v="9999"/>
    <x v="0"/>
    <x v="0"/>
    <s v="999999"/>
    <s v="FS not applicable"/>
    <s v="9999"/>
    <n v="0"/>
    <n v="0"/>
    <n v="0"/>
    <n v="0"/>
    <n v="7800"/>
    <s v="80122"/>
    <s v="80122"/>
    <s v="Y"/>
  </r>
  <r>
    <s v="2025"/>
    <s v="YRK03"/>
    <x v="1"/>
    <x v="1"/>
    <x v="6"/>
    <x v="6"/>
    <s v="12"/>
    <s v="300"/>
    <s v="9999"/>
    <x v="0"/>
    <x v="0"/>
    <s v="999999"/>
    <s v="FS not applicable"/>
    <s v="9999"/>
    <n v="0"/>
    <n v="0"/>
    <n v="0"/>
    <n v="5500"/>
    <n v="0"/>
    <s v="80123"/>
    <s v="80123"/>
    <s v="Y"/>
  </r>
  <r>
    <s v="2025"/>
    <s v="YRK03"/>
    <x v="0"/>
    <x v="0"/>
    <x v="7"/>
    <x v="7"/>
    <s v="12"/>
    <s v="300"/>
    <s v="9999"/>
    <x v="2"/>
    <x v="2"/>
    <s v="999999"/>
    <s v="FS not applicable"/>
    <s v="9999"/>
    <n v="2200"/>
    <n v="2800"/>
    <n v="0"/>
    <n v="0"/>
    <n v="600"/>
    <s v="80000"/>
    <s v="80050"/>
    <s v="Y"/>
  </r>
  <r>
    <s v="2025"/>
    <s v="YRK03"/>
    <x v="8"/>
    <x v="8"/>
    <x v="7"/>
    <x v="7"/>
    <s v="12"/>
    <s v="300"/>
    <s v="9999"/>
    <x v="2"/>
    <x v="2"/>
    <s v="999999"/>
    <s v="FS not applicable"/>
    <s v="9999"/>
    <n v="0"/>
    <n v="0"/>
    <n v="0"/>
    <n v="0"/>
    <n v="600"/>
    <s v="80120"/>
    <s v="80120"/>
    <s v="Y"/>
  </r>
  <r>
    <s v="2025"/>
    <s v="YRK03"/>
    <x v="0"/>
    <x v="0"/>
    <x v="7"/>
    <x v="7"/>
    <s v="12"/>
    <s v="300"/>
    <s v="9999"/>
    <x v="3"/>
    <x v="3"/>
    <s v="999999"/>
    <s v="FS not applicable"/>
    <s v="9999"/>
    <n v="445"/>
    <n v="3300"/>
    <n v="0"/>
    <n v="2855"/>
    <n v="0"/>
    <s v="80000"/>
    <s v="80050"/>
    <s v="Y"/>
  </r>
  <r>
    <s v="2025"/>
    <s v="YRK03"/>
    <x v="8"/>
    <x v="8"/>
    <x v="7"/>
    <x v="7"/>
    <s v="12"/>
    <s v="300"/>
    <s v="9999"/>
    <x v="3"/>
    <x v="3"/>
    <s v="999999"/>
    <s v="FS not applicable"/>
    <s v="9999"/>
    <n v="0"/>
    <n v="0"/>
    <n v="0"/>
    <n v="2855"/>
    <n v="0"/>
    <s v="80120"/>
    <s v="80120"/>
    <s v="Y"/>
  </r>
  <r>
    <s v="2025"/>
    <s v="YRK03"/>
    <x v="0"/>
    <x v="0"/>
    <x v="7"/>
    <x v="7"/>
    <s v="12"/>
    <s v="300"/>
    <s v="9999"/>
    <x v="4"/>
    <x v="4"/>
    <s v="999999"/>
    <s v="FS not applicable"/>
    <s v="9999"/>
    <n v="16452.63"/>
    <n v="25000"/>
    <n v="1952.35"/>
    <n v="588"/>
    <n v="6007.02"/>
    <s v="80000"/>
    <s v="80050"/>
    <s v="Y"/>
  </r>
  <r>
    <s v="2025"/>
    <s v="YRK03"/>
    <x v="6"/>
    <x v="6"/>
    <x v="7"/>
    <x v="7"/>
    <s v="12"/>
    <s v="300"/>
    <s v="9999"/>
    <x v="4"/>
    <x v="4"/>
    <s v="999999"/>
    <s v="FS not applicable"/>
    <s v="9999"/>
    <n v="0"/>
    <n v="0"/>
    <n v="0"/>
    <n v="0"/>
    <n v="498.27"/>
    <s v="80120"/>
    <s v="80120"/>
    <s v="Y"/>
  </r>
  <r>
    <s v="2025"/>
    <s v="YRK03"/>
    <x v="8"/>
    <x v="8"/>
    <x v="7"/>
    <x v="7"/>
    <s v="12"/>
    <s v="300"/>
    <s v="9999"/>
    <x v="4"/>
    <x v="4"/>
    <s v="999999"/>
    <s v="FS not applicable"/>
    <s v="9999"/>
    <n v="0"/>
    <n v="0"/>
    <n v="692.71"/>
    <n v="558"/>
    <n v="2916.25"/>
    <s v="80120"/>
    <s v="80120"/>
    <s v="Y"/>
  </r>
  <r>
    <s v="2025"/>
    <s v="YRK03"/>
    <x v="14"/>
    <x v="14"/>
    <x v="7"/>
    <x v="7"/>
    <s v="12"/>
    <s v="300"/>
    <s v="9999"/>
    <x v="4"/>
    <x v="4"/>
    <s v="999999"/>
    <s v="FS not applicable"/>
    <s v="9999"/>
    <n v="0"/>
    <n v="0"/>
    <n v="29.64"/>
    <n v="30"/>
    <n v="100"/>
    <s v="80122"/>
    <s v="80122"/>
    <s v="Y"/>
  </r>
  <r>
    <s v="2025"/>
    <s v="YRK03"/>
    <x v="24"/>
    <x v="24"/>
    <x v="7"/>
    <x v="7"/>
    <s v="12"/>
    <s v="300"/>
    <s v="9999"/>
    <x v="4"/>
    <x v="4"/>
    <s v="999999"/>
    <s v="FS not applicable"/>
    <s v="9999"/>
    <n v="0"/>
    <n v="0"/>
    <n v="0"/>
    <n v="0"/>
    <n v="1200"/>
    <s v="80122"/>
    <s v="80122"/>
    <s v="Y"/>
  </r>
  <r>
    <s v="2025"/>
    <s v="YRK03"/>
    <x v="5"/>
    <x v="5"/>
    <x v="7"/>
    <x v="7"/>
    <s v="12"/>
    <s v="300"/>
    <s v="9999"/>
    <x v="4"/>
    <x v="4"/>
    <s v="999999"/>
    <s v="FS not applicable"/>
    <s v="9999"/>
    <n v="0"/>
    <n v="0"/>
    <n v="900"/>
    <n v="0"/>
    <n v="712.5"/>
    <s v="80122"/>
    <s v="80122"/>
    <s v="Y"/>
  </r>
  <r>
    <s v="2025"/>
    <s v="YRK03"/>
    <x v="27"/>
    <x v="27"/>
    <x v="7"/>
    <x v="7"/>
    <s v="12"/>
    <s v="300"/>
    <s v="9999"/>
    <x v="4"/>
    <x v="4"/>
    <s v="999999"/>
    <s v="FS not applicable"/>
    <s v="9999"/>
    <n v="0"/>
    <n v="0"/>
    <n v="330"/>
    <n v="0"/>
    <n v="0"/>
    <s v="80122"/>
    <s v="80122"/>
    <s v="Y"/>
  </r>
  <r>
    <s v="2025"/>
    <s v="YRK03"/>
    <x v="28"/>
    <x v="28"/>
    <x v="7"/>
    <x v="7"/>
    <s v="12"/>
    <s v="300"/>
    <s v="9999"/>
    <x v="4"/>
    <x v="4"/>
    <s v="999999"/>
    <s v="FS not applicable"/>
    <s v="9999"/>
    <n v="0"/>
    <n v="0"/>
    <n v="0"/>
    <n v="0"/>
    <n v="580"/>
    <s v="80125"/>
    <s v="80125"/>
    <s v="Y"/>
  </r>
  <r>
    <s v="2025"/>
    <s v="YRK03"/>
    <x v="0"/>
    <x v="0"/>
    <x v="7"/>
    <x v="7"/>
    <s v="12"/>
    <s v="300"/>
    <s v="9999"/>
    <x v="5"/>
    <x v="5"/>
    <s v="999999"/>
    <s v="FS not applicable"/>
    <s v="9999"/>
    <n v="3300"/>
    <n v="3300"/>
    <n v="0"/>
    <n v="0"/>
    <n v="0"/>
    <s v="80000"/>
    <s v="80050"/>
    <s v="Y"/>
  </r>
  <r>
    <s v="2025"/>
    <s v="YRK03"/>
    <x v="0"/>
    <x v="0"/>
    <x v="7"/>
    <x v="7"/>
    <s v="12"/>
    <s v="300"/>
    <s v="9999"/>
    <x v="6"/>
    <x v="6"/>
    <s v="999999"/>
    <s v="FS not applicable"/>
    <s v="9999"/>
    <n v="300"/>
    <n v="3300"/>
    <n v="0"/>
    <n v="0"/>
    <n v="3000"/>
    <s v="80000"/>
    <s v="80050"/>
    <s v="Y"/>
  </r>
  <r>
    <s v="2025"/>
    <s v="YRK03"/>
    <x v="8"/>
    <x v="8"/>
    <x v="7"/>
    <x v="7"/>
    <s v="12"/>
    <s v="300"/>
    <s v="9999"/>
    <x v="6"/>
    <x v="6"/>
    <s v="999999"/>
    <s v="FS not applicable"/>
    <s v="9999"/>
    <n v="0"/>
    <n v="0"/>
    <n v="0"/>
    <n v="0"/>
    <n v="1500"/>
    <s v="80120"/>
    <s v="80120"/>
    <s v="Y"/>
  </r>
  <r>
    <s v="2025"/>
    <s v="YRK03"/>
    <x v="25"/>
    <x v="25"/>
    <x v="7"/>
    <x v="7"/>
    <s v="12"/>
    <s v="300"/>
    <s v="9999"/>
    <x v="6"/>
    <x v="6"/>
    <s v="999999"/>
    <s v="FS not applicable"/>
    <s v="9999"/>
    <n v="0"/>
    <n v="0"/>
    <n v="0"/>
    <n v="0"/>
    <n v="1500"/>
    <s v="80122"/>
    <s v="80122"/>
    <s v="Y"/>
  </r>
  <r>
    <s v="2025"/>
    <s v="YRK03"/>
    <x v="0"/>
    <x v="0"/>
    <x v="7"/>
    <x v="7"/>
    <s v="12"/>
    <s v="300"/>
    <s v="9999"/>
    <x v="7"/>
    <x v="7"/>
    <s v="999999"/>
    <s v="FS not applicable"/>
    <s v="9999"/>
    <n v="27145"/>
    <n v="27145"/>
    <n v="0"/>
    <n v="0"/>
    <n v="0"/>
    <s v="80000"/>
    <s v="80050"/>
    <s v="Y"/>
  </r>
  <r>
    <s v="2025"/>
    <s v="YRK03"/>
    <x v="0"/>
    <x v="0"/>
    <x v="7"/>
    <x v="7"/>
    <s v="12"/>
    <s v="300"/>
    <s v="9999"/>
    <x v="8"/>
    <x v="8"/>
    <s v="999999"/>
    <s v="FS not applicable"/>
    <s v="9999"/>
    <n v="3.49"/>
    <n v="8900"/>
    <n v="0"/>
    <n v="0"/>
    <n v="8896.51"/>
    <s v="80000"/>
    <s v="80050"/>
    <s v="Y"/>
  </r>
  <r>
    <s v="2025"/>
    <s v="YRK03"/>
    <x v="6"/>
    <x v="6"/>
    <x v="7"/>
    <x v="7"/>
    <s v="12"/>
    <s v="300"/>
    <s v="9999"/>
    <x v="8"/>
    <x v="8"/>
    <s v="999999"/>
    <s v="FS not applicable"/>
    <s v="9999"/>
    <n v="0"/>
    <n v="0"/>
    <n v="0"/>
    <n v="0"/>
    <n v="3486.51"/>
    <s v="80120"/>
    <s v="80120"/>
    <s v="Y"/>
  </r>
  <r>
    <s v="2025"/>
    <s v="YRK03"/>
    <x v="8"/>
    <x v="8"/>
    <x v="7"/>
    <x v="7"/>
    <s v="12"/>
    <s v="300"/>
    <s v="9999"/>
    <x v="8"/>
    <x v="8"/>
    <s v="999999"/>
    <s v="FS not applicable"/>
    <s v="9999"/>
    <n v="0"/>
    <n v="0"/>
    <n v="0"/>
    <n v="0"/>
    <n v="4410"/>
    <s v="80120"/>
    <s v="80120"/>
    <s v="Y"/>
  </r>
  <r>
    <s v="2025"/>
    <s v="YRK03"/>
    <x v="29"/>
    <x v="29"/>
    <x v="7"/>
    <x v="7"/>
    <s v="12"/>
    <s v="300"/>
    <s v="9999"/>
    <x v="8"/>
    <x v="8"/>
    <s v="999999"/>
    <s v="FS not applicable"/>
    <s v="9999"/>
    <n v="0"/>
    <n v="0"/>
    <n v="0"/>
    <n v="0"/>
    <n v="1000"/>
    <s v="80122"/>
    <s v="80122"/>
    <s v="Y"/>
  </r>
  <r>
    <s v="2025"/>
    <s v="YRK03"/>
    <x v="0"/>
    <x v="0"/>
    <x v="7"/>
    <x v="7"/>
    <s v="12"/>
    <s v="300"/>
    <s v="9999"/>
    <x v="9"/>
    <x v="9"/>
    <s v="999999"/>
    <s v="FS not applicable"/>
    <s v="9999"/>
    <n v="2310"/>
    <n v="4000"/>
    <n v="0"/>
    <n v="0"/>
    <n v="1690"/>
    <s v="80000"/>
    <s v="80050"/>
    <s v="Y"/>
  </r>
  <r>
    <s v="2025"/>
    <s v="YRK03"/>
    <x v="23"/>
    <x v="23"/>
    <x v="7"/>
    <x v="7"/>
    <s v="12"/>
    <s v="300"/>
    <s v="9999"/>
    <x v="9"/>
    <x v="9"/>
    <s v="999999"/>
    <s v="FS not applicable"/>
    <s v="9999"/>
    <n v="0"/>
    <n v="0"/>
    <n v="0"/>
    <n v="0"/>
    <n v="1690"/>
    <s v="80122"/>
    <s v="80122"/>
    <s v="Y"/>
  </r>
  <r>
    <s v="2025"/>
    <s v="YRK03"/>
    <x v="0"/>
    <x v="0"/>
    <x v="7"/>
    <x v="7"/>
    <s v="12"/>
    <s v="300"/>
    <s v="9999"/>
    <x v="10"/>
    <x v="10"/>
    <s v="999999"/>
    <s v="FS not applicable"/>
    <s v="9999"/>
    <n v="45"/>
    <n v="1200"/>
    <n v="0"/>
    <n v="0"/>
    <n v="1155"/>
    <s v="80000"/>
    <s v="80050"/>
    <s v="Y"/>
  </r>
  <r>
    <s v="2025"/>
    <s v="YRK03"/>
    <x v="7"/>
    <x v="7"/>
    <x v="7"/>
    <x v="7"/>
    <s v="12"/>
    <s v="300"/>
    <s v="9999"/>
    <x v="10"/>
    <x v="10"/>
    <s v="999999"/>
    <s v="FS not applicable"/>
    <s v="9999"/>
    <n v="0"/>
    <n v="0"/>
    <n v="0"/>
    <n v="0"/>
    <n v="1155"/>
    <s v="80120"/>
    <s v="80120"/>
    <s v="Y"/>
  </r>
  <r>
    <s v="2025"/>
    <s v="YRK03"/>
    <x v="0"/>
    <x v="0"/>
    <x v="7"/>
    <x v="7"/>
    <s v="12"/>
    <s v="300"/>
    <s v="9999"/>
    <x v="11"/>
    <x v="11"/>
    <s v="999999"/>
    <s v="FS not applicable"/>
    <s v="9999"/>
    <n v="22527.17"/>
    <n v="100981.7"/>
    <n v="2010.76"/>
    <n v="30703.11"/>
    <n v="45740.66"/>
    <s v="80000"/>
    <s v="80050"/>
    <s v="Y"/>
  </r>
  <r>
    <s v="2025"/>
    <s v="YRK03"/>
    <x v="6"/>
    <x v="6"/>
    <x v="7"/>
    <x v="7"/>
    <s v="12"/>
    <s v="300"/>
    <s v="9999"/>
    <x v="11"/>
    <x v="11"/>
    <s v="999999"/>
    <s v="FS not applicable"/>
    <s v="9999"/>
    <n v="0"/>
    <n v="0"/>
    <n v="1049.24"/>
    <n v="369.82"/>
    <n v="384.59"/>
    <s v="80120"/>
    <s v="80120"/>
    <s v="Y"/>
  </r>
  <r>
    <s v="2025"/>
    <s v="YRK03"/>
    <x v="7"/>
    <x v="7"/>
    <x v="7"/>
    <x v="7"/>
    <s v="12"/>
    <s v="300"/>
    <s v="9999"/>
    <x v="11"/>
    <x v="11"/>
    <s v="999999"/>
    <s v="FS not applicable"/>
    <s v="9999"/>
    <n v="0"/>
    <n v="0"/>
    <n v="0"/>
    <n v="5.18"/>
    <n v="0"/>
    <s v="80120"/>
    <s v="80120"/>
    <s v="Y"/>
  </r>
  <r>
    <s v="2025"/>
    <s v="YRK03"/>
    <x v="8"/>
    <x v="8"/>
    <x v="7"/>
    <x v="7"/>
    <s v="12"/>
    <s v="300"/>
    <s v="9999"/>
    <x v="11"/>
    <x v="11"/>
    <s v="999999"/>
    <s v="FS not applicable"/>
    <s v="9999"/>
    <n v="0"/>
    <n v="0"/>
    <n v="0"/>
    <n v="3935.78"/>
    <n v="30038.34"/>
    <s v="80120"/>
    <s v="80120"/>
    <s v="Y"/>
  </r>
  <r>
    <s v="2025"/>
    <s v="YRK03"/>
    <x v="9"/>
    <x v="9"/>
    <x v="7"/>
    <x v="7"/>
    <s v="12"/>
    <s v="300"/>
    <s v="9999"/>
    <x v="11"/>
    <x v="11"/>
    <s v="999999"/>
    <s v="FS not applicable"/>
    <s v="9999"/>
    <n v="0"/>
    <n v="0"/>
    <n v="0"/>
    <n v="77.569999999999993"/>
    <n v="0"/>
    <s v="80120"/>
    <s v="80120"/>
    <s v="Y"/>
  </r>
  <r>
    <s v="2025"/>
    <s v="YRK03"/>
    <x v="30"/>
    <x v="30"/>
    <x v="7"/>
    <x v="7"/>
    <s v="12"/>
    <s v="300"/>
    <s v="9999"/>
    <x v="11"/>
    <x v="11"/>
    <s v="999999"/>
    <s v="FS not applicable"/>
    <s v="9999"/>
    <n v="0"/>
    <n v="0"/>
    <n v="0"/>
    <n v="0"/>
    <n v="3103.98"/>
    <s v="80120"/>
    <s v="80120"/>
    <s v="Y"/>
  </r>
  <r>
    <s v="2025"/>
    <s v="YRK03"/>
    <x v="31"/>
    <x v="31"/>
    <x v="7"/>
    <x v="7"/>
    <s v="12"/>
    <s v="300"/>
    <s v="9999"/>
    <x v="11"/>
    <x v="11"/>
    <s v="999999"/>
    <s v="FS not applicable"/>
    <s v="9999"/>
    <n v="0"/>
    <n v="0"/>
    <n v="0"/>
    <n v="0"/>
    <n v="2974.5"/>
    <s v="80120"/>
    <s v="80120"/>
    <s v="Y"/>
  </r>
  <r>
    <s v="2025"/>
    <s v="YRK03"/>
    <x v="21"/>
    <x v="21"/>
    <x v="7"/>
    <x v="7"/>
    <s v="12"/>
    <s v="300"/>
    <s v="9999"/>
    <x v="11"/>
    <x v="11"/>
    <s v="999999"/>
    <s v="FS not applicable"/>
    <s v="9999"/>
    <n v="0"/>
    <n v="0"/>
    <n v="0"/>
    <n v="24951.91"/>
    <n v="3292.68"/>
    <s v="80120"/>
    <s v="80120"/>
    <s v="Y"/>
  </r>
  <r>
    <s v="2025"/>
    <s v="YRK03"/>
    <x v="32"/>
    <x v="32"/>
    <x v="7"/>
    <x v="7"/>
    <s v="12"/>
    <s v="300"/>
    <s v="9999"/>
    <x v="11"/>
    <x v="11"/>
    <s v="999999"/>
    <s v="FS not applicable"/>
    <s v="9999"/>
    <n v="0"/>
    <n v="0"/>
    <n v="0"/>
    <n v="0"/>
    <n v="334"/>
    <s v="80121"/>
    <s v="80121"/>
    <s v="Y"/>
  </r>
  <r>
    <s v="2025"/>
    <s v="YRK03"/>
    <x v="4"/>
    <x v="4"/>
    <x v="7"/>
    <x v="7"/>
    <s v="12"/>
    <s v="300"/>
    <s v="9999"/>
    <x v="11"/>
    <x v="11"/>
    <s v="999999"/>
    <s v="FS not applicable"/>
    <s v="9999"/>
    <n v="0"/>
    <n v="0"/>
    <n v="461.52"/>
    <n v="0"/>
    <n v="968.7"/>
    <s v="80121"/>
    <s v="80121"/>
    <s v="Y"/>
  </r>
  <r>
    <s v="2025"/>
    <s v="YRK03"/>
    <x v="12"/>
    <x v="12"/>
    <x v="7"/>
    <x v="7"/>
    <s v="12"/>
    <s v="300"/>
    <s v="9999"/>
    <x v="11"/>
    <x v="11"/>
    <s v="999999"/>
    <s v="FS not applicable"/>
    <s v="9999"/>
    <n v="0"/>
    <n v="0"/>
    <n v="0"/>
    <n v="0"/>
    <n v="183.87"/>
    <s v="80121"/>
    <s v="80121"/>
    <s v="Y"/>
  </r>
  <r>
    <s v="2025"/>
    <s v="YRK03"/>
    <x v="33"/>
    <x v="33"/>
    <x v="7"/>
    <x v="7"/>
    <s v="12"/>
    <s v="300"/>
    <s v="9999"/>
    <x v="11"/>
    <x v="11"/>
    <s v="999999"/>
    <s v="FS not applicable"/>
    <s v="9999"/>
    <n v="0"/>
    <n v="0"/>
    <n v="0"/>
    <n v="0"/>
    <n v="400"/>
    <s v="80121"/>
    <s v="80121"/>
    <s v="Y"/>
  </r>
  <r>
    <s v="2025"/>
    <s v="YRK03"/>
    <x v="13"/>
    <x v="13"/>
    <x v="7"/>
    <x v="7"/>
    <s v="12"/>
    <s v="300"/>
    <s v="9999"/>
    <x v="11"/>
    <x v="11"/>
    <s v="999999"/>
    <s v="FS not applicable"/>
    <s v="9999"/>
    <n v="0"/>
    <n v="0"/>
    <n v="0"/>
    <n v="0"/>
    <n v="1060"/>
    <s v="80121"/>
    <s v="80121"/>
    <s v="Y"/>
  </r>
  <r>
    <s v="2025"/>
    <s v="YRK03"/>
    <x v="25"/>
    <x v="25"/>
    <x v="7"/>
    <x v="7"/>
    <s v="12"/>
    <s v="300"/>
    <s v="9999"/>
    <x v="11"/>
    <x v="11"/>
    <s v="999999"/>
    <s v="FS not applicable"/>
    <s v="9999"/>
    <n v="0"/>
    <n v="0"/>
    <n v="0"/>
    <n v="980.89"/>
    <n v="0"/>
    <s v="80122"/>
    <s v="80122"/>
    <s v="Y"/>
  </r>
  <r>
    <s v="2025"/>
    <s v="YRK03"/>
    <x v="29"/>
    <x v="29"/>
    <x v="7"/>
    <x v="7"/>
    <s v="12"/>
    <s v="300"/>
    <s v="9999"/>
    <x v="11"/>
    <x v="11"/>
    <s v="999999"/>
    <s v="FS not applicable"/>
    <s v="9999"/>
    <n v="0"/>
    <n v="0"/>
    <n v="500"/>
    <n v="0"/>
    <n v="3000"/>
    <s v="80122"/>
    <s v="80122"/>
    <s v="Y"/>
  </r>
  <r>
    <s v="2025"/>
    <s v="YRK03"/>
    <x v="34"/>
    <x v="34"/>
    <x v="7"/>
    <x v="7"/>
    <s v="12"/>
    <s v="300"/>
    <s v="9999"/>
    <x v="11"/>
    <x v="11"/>
    <s v="999999"/>
    <s v="FS not applicable"/>
    <s v="9999"/>
    <n v="0"/>
    <n v="0"/>
    <n v="0"/>
    <n v="381.96"/>
    <n v="0"/>
    <s v="80123"/>
    <s v="80123"/>
    <s v="Y"/>
  </r>
  <r>
    <s v="2025"/>
    <s v="YRK03"/>
    <x v="0"/>
    <x v="0"/>
    <x v="7"/>
    <x v="7"/>
    <s v="12"/>
    <s v="300"/>
    <s v="9999"/>
    <x v="12"/>
    <x v="12"/>
    <s v="999999"/>
    <s v="FS not applicable"/>
    <s v="9999"/>
    <n v="0"/>
    <n v="3150"/>
    <n v="0"/>
    <n v="0"/>
    <n v="3150"/>
    <s v="80000"/>
    <s v="80050"/>
    <s v="Y"/>
  </r>
  <r>
    <s v="2025"/>
    <s v="YRK03"/>
    <x v="5"/>
    <x v="5"/>
    <x v="7"/>
    <x v="7"/>
    <s v="12"/>
    <s v="300"/>
    <s v="9999"/>
    <x v="12"/>
    <x v="12"/>
    <s v="999999"/>
    <s v="FS not applicable"/>
    <s v="9999"/>
    <n v="0"/>
    <n v="0"/>
    <n v="0"/>
    <n v="0"/>
    <n v="3150"/>
    <s v="80122"/>
    <s v="80122"/>
    <s v="Y"/>
  </r>
  <r>
    <s v="2025"/>
    <s v="YRK03"/>
    <x v="0"/>
    <x v="0"/>
    <x v="7"/>
    <x v="7"/>
    <s v="12"/>
    <s v="300"/>
    <s v="9999"/>
    <x v="13"/>
    <x v="13"/>
    <s v="999999"/>
    <s v="FS not applicable"/>
    <s v="9999"/>
    <n v="0"/>
    <n v="103342.14"/>
    <n v="0"/>
    <n v="0"/>
    <n v="103342.14"/>
    <s v="80000"/>
    <s v="80050"/>
    <s v="Y"/>
  </r>
  <r>
    <s v="2025"/>
    <s v="YRK03"/>
    <x v="20"/>
    <x v="20"/>
    <x v="7"/>
    <x v="7"/>
    <s v="12"/>
    <s v="300"/>
    <s v="9999"/>
    <x v="13"/>
    <x v="13"/>
    <s v="999999"/>
    <s v="FS not applicable"/>
    <s v="9999"/>
    <n v="0"/>
    <n v="0"/>
    <n v="0"/>
    <n v="0"/>
    <n v="103342.14"/>
    <s v="80122"/>
    <s v="80122"/>
    <s v="Y"/>
  </r>
  <r>
    <s v="2025"/>
    <s v="YRK03"/>
    <x v="0"/>
    <x v="0"/>
    <x v="7"/>
    <x v="7"/>
    <s v="12"/>
    <s v="300"/>
    <s v="9999"/>
    <x v="0"/>
    <x v="0"/>
    <s v="999999"/>
    <s v="FS not applicable"/>
    <s v="9999"/>
    <n v="28388.94"/>
    <n v="57300"/>
    <n v="4500"/>
    <n v="0"/>
    <n v="24411.06"/>
    <s v="80000"/>
    <s v="80050"/>
    <s v="Y"/>
  </r>
  <r>
    <s v="2025"/>
    <s v="YRK03"/>
    <x v="6"/>
    <x v="6"/>
    <x v="7"/>
    <x v="7"/>
    <s v="12"/>
    <s v="300"/>
    <s v="9999"/>
    <x v="0"/>
    <x v="0"/>
    <s v="999999"/>
    <s v="FS not applicable"/>
    <s v="9999"/>
    <n v="0"/>
    <n v="0"/>
    <n v="0"/>
    <n v="0"/>
    <n v="53.98"/>
    <s v="80120"/>
    <s v="80120"/>
    <s v="Y"/>
  </r>
  <r>
    <s v="2025"/>
    <s v="YRK03"/>
    <x v="7"/>
    <x v="7"/>
    <x v="7"/>
    <x v="7"/>
    <s v="12"/>
    <s v="300"/>
    <s v="9999"/>
    <x v="0"/>
    <x v="0"/>
    <s v="999999"/>
    <s v="FS not applicable"/>
    <s v="9999"/>
    <n v="0"/>
    <n v="0"/>
    <n v="0"/>
    <n v="0"/>
    <n v="1412.67"/>
    <s v="80120"/>
    <s v="80120"/>
    <s v="Y"/>
  </r>
  <r>
    <s v="2025"/>
    <s v="YRK03"/>
    <x v="8"/>
    <x v="8"/>
    <x v="7"/>
    <x v="7"/>
    <s v="12"/>
    <s v="300"/>
    <s v="9999"/>
    <x v="0"/>
    <x v="0"/>
    <s v="999999"/>
    <s v="FS not applicable"/>
    <s v="9999"/>
    <n v="0"/>
    <n v="0"/>
    <n v="4500"/>
    <n v="0"/>
    <n v="0"/>
    <s v="80120"/>
    <s v="80120"/>
    <s v="Y"/>
  </r>
  <r>
    <s v="2025"/>
    <s v="YRK03"/>
    <x v="15"/>
    <x v="15"/>
    <x v="7"/>
    <x v="7"/>
    <s v="12"/>
    <s v="300"/>
    <s v="9999"/>
    <x v="0"/>
    <x v="0"/>
    <s v="999999"/>
    <s v="FS not applicable"/>
    <s v="9999"/>
    <n v="0"/>
    <n v="0"/>
    <n v="0"/>
    <n v="0"/>
    <n v="4894.12"/>
    <s v="80122"/>
    <s v="80122"/>
    <s v="Y"/>
  </r>
  <r>
    <s v="2025"/>
    <s v="YRK03"/>
    <x v="35"/>
    <x v="35"/>
    <x v="7"/>
    <x v="7"/>
    <s v="12"/>
    <s v="300"/>
    <s v="9999"/>
    <x v="0"/>
    <x v="0"/>
    <s v="999999"/>
    <s v="FS not applicable"/>
    <s v="9999"/>
    <n v="0"/>
    <n v="0"/>
    <n v="0"/>
    <n v="0"/>
    <n v="1969.79"/>
    <s v="80122"/>
    <s v="80122"/>
    <s v="Y"/>
  </r>
  <r>
    <s v="2025"/>
    <s v="YRK03"/>
    <x v="36"/>
    <x v="36"/>
    <x v="7"/>
    <x v="7"/>
    <s v="12"/>
    <s v="300"/>
    <s v="9999"/>
    <x v="0"/>
    <x v="0"/>
    <s v="999999"/>
    <s v="FS not applicable"/>
    <s v="9999"/>
    <n v="0"/>
    <n v="0"/>
    <n v="0"/>
    <n v="0"/>
    <n v="147.5"/>
    <s v="80122"/>
    <s v="80122"/>
    <s v="Y"/>
  </r>
  <r>
    <s v="2025"/>
    <s v="YRK03"/>
    <x v="37"/>
    <x v="37"/>
    <x v="7"/>
    <x v="7"/>
    <s v="12"/>
    <s v="300"/>
    <s v="9999"/>
    <x v="0"/>
    <x v="0"/>
    <s v="999999"/>
    <s v="FS not applicable"/>
    <s v="9999"/>
    <n v="0"/>
    <n v="0"/>
    <n v="0"/>
    <n v="0"/>
    <n v="12382"/>
    <s v="80122"/>
    <s v="80122"/>
    <s v="Y"/>
  </r>
  <r>
    <s v="2025"/>
    <s v="YRK03"/>
    <x v="17"/>
    <x v="17"/>
    <x v="7"/>
    <x v="7"/>
    <s v="12"/>
    <s v="300"/>
    <s v="9999"/>
    <x v="0"/>
    <x v="0"/>
    <s v="999999"/>
    <s v="FS not applicable"/>
    <s v="9999"/>
    <n v="0"/>
    <n v="0"/>
    <n v="0"/>
    <n v="0"/>
    <n v="51"/>
    <s v="80122"/>
    <s v="80122"/>
    <s v="Y"/>
  </r>
  <r>
    <s v="2025"/>
    <s v="YRK03"/>
    <x v="26"/>
    <x v="26"/>
    <x v="7"/>
    <x v="7"/>
    <s v="12"/>
    <s v="300"/>
    <s v="9999"/>
    <x v="0"/>
    <x v="0"/>
    <s v="999999"/>
    <s v="FS not applicable"/>
    <s v="9999"/>
    <n v="0"/>
    <n v="0"/>
    <n v="0"/>
    <n v="0"/>
    <n v="3500"/>
    <s v="80122"/>
    <s v="80122"/>
    <s v="Y"/>
  </r>
  <r>
    <s v="2025"/>
    <s v="YRK03"/>
    <x v="0"/>
    <x v="0"/>
    <x v="8"/>
    <x v="8"/>
    <s v="12"/>
    <s v="300"/>
    <s v="9999"/>
    <x v="14"/>
    <x v="14"/>
    <s v="999999"/>
    <s v="FS not applicable"/>
    <s v="9999"/>
    <n v="7000"/>
    <n v="7000"/>
    <n v="0"/>
    <n v="0"/>
    <n v="0"/>
    <s v="80000"/>
    <s v="80050"/>
    <s v="Y"/>
  </r>
  <r>
    <s v="2025"/>
    <s v="YRK03"/>
    <x v="0"/>
    <x v="0"/>
    <x v="8"/>
    <x v="8"/>
    <s v="12"/>
    <s v="300"/>
    <s v="9999"/>
    <x v="15"/>
    <x v="15"/>
    <s v="999999"/>
    <s v="FS not applicable"/>
    <s v="9999"/>
    <n v="7000"/>
    <n v="7000"/>
    <n v="0"/>
    <n v="0"/>
    <n v="0"/>
    <s v="80000"/>
    <s v="80050"/>
    <s v="Y"/>
  </r>
  <r>
    <s v="2025"/>
    <s v="YRK03"/>
    <x v="0"/>
    <x v="0"/>
    <x v="8"/>
    <x v="8"/>
    <s v="12"/>
    <s v="300"/>
    <s v="9999"/>
    <x v="16"/>
    <x v="16"/>
    <s v="999999"/>
    <s v="FS not applicable"/>
    <s v="9999"/>
    <n v="7000"/>
    <n v="7000"/>
    <n v="0"/>
    <n v="0"/>
    <n v="0"/>
    <s v="80000"/>
    <s v="80050"/>
    <s v="Y"/>
  </r>
  <r>
    <s v="2025"/>
    <s v="YRK03"/>
    <x v="0"/>
    <x v="0"/>
    <x v="8"/>
    <x v="8"/>
    <s v="12"/>
    <s v="300"/>
    <s v="9999"/>
    <x v="17"/>
    <x v="17"/>
    <s v="999999"/>
    <s v="FS not applicable"/>
    <s v="9999"/>
    <n v="1629.33"/>
    <n v="7000"/>
    <n v="800"/>
    <n v="1025.98"/>
    <n v="3544.69"/>
    <s v="80000"/>
    <s v="80050"/>
    <s v="Y"/>
  </r>
  <r>
    <s v="2025"/>
    <s v="YRK03"/>
    <x v="8"/>
    <x v="8"/>
    <x v="8"/>
    <x v="8"/>
    <s v="12"/>
    <s v="300"/>
    <s v="9999"/>
    <x v="17"/>
    <x v="17"/>
    <s v="999999"/>
    <s v="FS not applicable"/>
    <s v="9999"/>
    <n v="0"/>
    <n v="0"/>
    <n v="0"/>
    <n v="1025.98"/>
    <n v="2244.69"/>
    <s v="80120"/>
    <s v="80120"/>
    <s v="Y"/>
  </r>
  <r>
    <s v="2025"/>
    <s v="YRK03"/>
    <x v="24"/>
    <x v="24"/>
    <x v="8"/>
    <x v="8"/>
    <s v="12"/>
    <s v="300"/>
    <s v="9999"/>
    <x v="17"/>
    <x v="17"/>
    <s v="999999"/>
    <s v="FS not applicable"/>
    <s v="9999"/>
    <n v="0"/>
    <n v="0"/>
    <n v="800"/>
    <n v="0"/>
    <n v="1300"/>
    <s v="80122"/>
    <s v="80122"/>
    <s v="Y"/>
  </r>
  <r>
    <s v="2025"/>
    <s v="YRK03"/>
    <x v="0"/>
    <x v="0"/>
    <x v="8"/>
    <x v="8"/>
    <s v="12"/>
    <s v="300"/>
    <s v="9999"/>
    <x v="18"/>
    <x v="18"/>
    <s v="999999"/>
    <s v="FS not applicable"/>
    <s v="9999"/>
    <n v="4898.18"/>
    <n v="7000"/>
    <n v="1214.32"/>
    <n v="887.5"/>
    <n v="0"/>
    <s v="80000"/>
    <s v="80050"/>
    <s v="Y"/>
  </r>
  <r>
    <s v="2025"/>
    <s v="YRK03"/>
    <x v="6"/>
    <x v="6"/>
    <x v="8"/>
    <x v="8"/>
    <s v="12"/>
    <s v="300"/>
    <s v="9999"/>
    <x v="18"/>
    <x v="18"/>
    <s v="999999"/>
    <s v="FS not applicable"/>
    <s v="9999"/>
    <n v="0"/>
    <n v="0"/>
    <n v="769.14"/>
    <n v="0"/>
    <n v="0"/>
    <s v="80120"/>
    <s v="80120"/>
    <s v="Y"/>
  </r>
  <r>
    <s v="2025"/>
    <s v="YRK03"/>
    <x v="7"/>
    <x v="7"/>
    <x v="8"/>
    <x v="8"/>
    <s v="12"/>
    <s v="300"/>
    <s v="9999"/>
    <x v="18"/>
    <x v="18"/>
    <s v="999999"/>
    <s v="FS not applicable"/>
    <s v="9999"/>
    <n v="0"/>
    <n v="0"/>
    <n v="445.18"/>
    <n v="0"/>
    <n v="0"/>
    <s v="80120"/>
    <s v="80120"/>
    <s v="Y"/>
  </r>
  <r>
    <s v="2025"/>
    <s v="YRK03"/>
    <x v="8"/>
    <x v="8"/>
    <x v="8"/>
    <x v="8"/>
    <s v="12"/>
    <s v="300"/>
    <s v="9999"/>
    <x v="18"/>
    <x v="18"/>
    <s v="999999"/>
    <s v="FS not applicable"/>
    <s v="9999"/>
    <n v="0"/>
    <n v="0"/>
    <n v="0"/>
    <n v="887.5"/>
    <n v="0"/>
    <s v="80120"/>
    <s v="80120"/>
    <s v="Y"/>
  </r>
  <r>
    <s v="2025"/>
    <s v="YRK03"/>
    <x v="0"/>
    <x v="0"/>
    <x v="8"/>
    <x v="8"/>
    <s v="12"/>
    <s v="300"/>
    <s v="9999"/>
    <x v="19"/>
    <x v="19"/>
    <s v="999999"/>
    <s v="FS not applicable"/>
    <s v="9999"/>
    <n v="7000"/>
    <n v="7000"/>
    <n v="0"/>
    <n v="0"/>
    <n v="0"/>
    <s v="80000"/>
    <s v="80050"/>
    <s v="Y"/>
  </r>
  <r>
    <s v="2025"/>
    <s v="YRK03"/>
    <x v="0"/>
    <x v="0"/>
    <x v="8"/>
    <x v="8"/>
    <s v="12"/>
    <s v="300"/>
    <s v="9999"/>
    <x v="20"/>
    <x v="20"/>
    <s v="999999"/>
    <s v="FS not applicable"/>
    <s v="9999"/>
    <n v="7000"/>
    <n v="7000"/>
    <n v="0"/>
    <n v="0"/>
    <n v="0"/>
    <s v="80000"/>
    <s v="80050"/>
    <s v="Y"/>
  </r>
  <r>
    <s v="2025"/>
    <s v="YRK03"/>
    <x v="0"/>
    <x v="0"/>
    <x v="8"/>
    <x v="8"/>
    <s v="12"/>
    <s v="300"/>
    <s v="9999"/>
    <x v="21"/>
    <x v="21"/>
    <s v="999999"/>
    <s v="FS not applicable"/>
    <s v="9999"/>
    <n v="309.04000000000002"/>
    <n v="7000"/>
    <n v="1947.05"/>
    <n v="3572"/>
    <n v="1171.9100000000001"/>
    <s v="80000"/>
    <s v="80050"/>
    <s v="Y"/>
  </r>
  <r>
    <s v="2025"/>
    <s v="YRK03"/>
    <x v="8"/>
    <x v="8"/>
    <x v="8"/>
    <x v="8"/>
    <s v="12"/>
    <s v="300"/>
    <s v="9999"/>
    <x v="21"/>
    <x v="21"/>
    <s v="999999"/>
    <s v="FS not applicable"/>
    <s v="9999"/>
    <n v="0"/>
    <n v="0"/>
    <n v="783.86"/>
    <n v="3572"/>
    <n v="350.97"/>
    <s v="80120"/>
    <s v="80120"/>
    <s v="Y"/>
  </r>
  <r>
    <s v="2025"/>
    <s v="YRK03"/>
    <x v="31"/>
    <x v="31"/>
    <x v="8"/>
    <x v="8"/>
    <s v="12"/>
    <s v="300"/>
    <s v="9999"/>
    <x v="21"/>
    <x v="21"/>
    <s v="999999"/>
    <s v="FS not applicable"/>
    <s v="9999"/>
    <n v="0"/>
    <n v="0"/>
    <n v="400"/>
    <n v="0"/>
    <n v="0"/>
    <s v="80120"/>
    <s v="80120"/>
    <s v="Y"/>
  </r>
  <r>
    <s v="2025"/>
    <s v="YRK03"/>
    <x v="21"/>
    <x v="21"/>
    <x v="8"/>
    <x v="8"/>
    <s v="12"/>
    <s v="300"/>
    <s v="9999"/>
    <x v="21"/>
    <x v="21"/>
    <s v="999999"/>
    <s v="FS not applicable"/>
    <s v="9999"/>
    <n v="0"/>
    <n v="0"/>
    <n v="363.19"/>
    <n v="0"/>
    <n v="0"/>
    <s v="80120"/>
    <s v="80120"/>
    <s v="Y"/>
  </r>
  <r>
    <s v="2025"/>
    <s v="YRK03"/>
    <x v="38"/>
    <x v="38"/>
    <x v="8"/>
    <x v="8"/>
    <s v="12"/>
    <s v="300"/>
    <s v="9999"/>
    <x v="21"/>
    <x v="21"/>
    <s v="999999"/>
    <s v="FS not applicable"/>
    <s v="9999"/>
    <n v="0"/>
    <n v="0"/>
    <n v="0"/>
    <n v="0"/>
    <n v="20.94"/>
    <s v="80121"/>
    <s v="80121"/>
    <s v="Y"/>
  </r>
  <r>
    <s v="2025"/>
    <s v="YRK03"/>
    <x v="5"/>
    <x v="5"/>
    <x v="8"/>
    <x v="8"/>
    <s v="12"/>
    <s v="300"/>
    <s v="9999"/>
    <x v="21"/>
    <x v="21"/>
    <s v="999999"/>
    <s v="FS not applicable"/>
    <s v="9999"/>
    <n v="0"/>
    <n v="0"/>
    <n v="400"/>
    <n v="0"/>
    <n v="800"/>
    <s v="80122"/>
    <s v="80122"/>
    <s v="Y"/>
  </r>
  <r>
    <s v="2025"/>
    <s v="YRK03"/>
    <x v="0"/>
    <x v="0"/>
    <x v="8"/>
    <x v="8"/>
    <s v="12"/>
    <s v="300"/>
    <s v="9999"/>
    <x v="22"/>
    <x v="22"/>
    <s v="999999"/>
    <s v="FS not applicable"/>
    <s v="9999"/>
    <n v="7000"/>
    <n v="7000"/>
    <n v="0"/>
    <n v="0"/>
    <n v="0"/>
    <s v="80000"/>
    <s v="80050"/>
    <s v="Y"/>
  </r>
  <r>
    <s v="2025"/>
    <s v="YRK03"/>
    <x v="0"/>
    <x v="0"/>
    <x v="8"/>
    <x v="8"/>
    <s v="12"/>
    <s v="300"/>
    <s v="9999"/>
    <x v="23"/>
    <x v="23"/>
    <s v="999999"/>
    <s v="FS not applicable"/>
    <s v="9999"/>
    <n v="7000"/>
    <n v="7000"/>
    <n v="0"/>
    <n v="0"/>
    <n v="0"/>
    <s v="80000"/>
    <s v="80050"/>
    <s v="Y"/>
  </r>
  <r>
    <s v="2025"/>
    <s v="YRK03"/>
    <x v="0"/>
    <x v="0"/>
    <x v="8"/>
    <x v="8"/>
    <s v="12"/>
    <s v="300"/>
    <s v="9999"/>
    <x v="24"/>
    <x v="24"/>
    <s v="999999"/>
    <s v="FS not applicable"/>
    <s v="9999"/>
    <n v="1999.44"/>
    <n v="7000"/>
    <n v="3253.48"/>
    <n v="1127.5"/>
    <n v="619.58000000000004"/>
    <s v="80000"/>
    <s v="80050"/>
    <s v="Y"/>
  </r>
  <r>
    <s v="2025"/>
    <s v="YRK03"/>
    <x v="6"/>
    <x v="6"/>
    <x v="8"/>
    <x v="8"/>
    <s v="12"/>
    <s v="300"/>
    <s v="9999"/>
    <x v="24"/>
    <x v="24"/>
    <s v="999999"/>
    <s v="FS not applicable"/>
    <s v="9999"/>
    <n v="0"/>
    <n v="0"/>
    <n v="1300"/>
    <n v="0"/>
    <n v="0"/>
    <s v="80120"/>
    <s v="80120"/>
    <s v="Y"/>
  </r>
  <r>
    <s v="2025"/>
    <s v="YRK03"/>
    <x v="7"/>
    <x v="7"/>
    <x v="8"/>
    <x v="8"/>
    <s v="12"/>
    <s v="300"/>
    <s v="9999"/>
    <x v="24"/>
    <x v="24"/>
    <s v="999999"/>
    <s v="FS not applicable"/>
    <s v="9999"/>
    <n v="0"/>
    <n v="0"/>
    <n v="994.54"/>
    <n v="0"/>
    <n v="0"/>
    <s v="80120"/>
    <s v="80120"/>
    <s v="Y"/>
  </r>
  <r>
    <s v="2025"/>
    <s v="YRK03"/>
    <x v="8"/>
    <x v="8"/>
    <x v="8"/>
    <x v="8"/>
    <s v="12"/>
    <s v="300"/>
    <s v="9999"/>
    <x v="24"/>
    <x v="24"/>
    <s v="999999"/>
    <s v="FS not applicable"/>
    <s v="9999"/>
    <n v="0"/>
    <n v="0"/>
    <n v="326.58999999999997"/>
    <n v="1127.5"/>
    <n v="156.08000000000001"/>
    <s v="80120"/>
    <s v="80120"/>
    <s v="Y"/>
  </r>
  <r>
    <s v="2025"/>
    <s v="YRK03"/>
    <x v="21"/>
    <x v="21"/>
    <x v="8"/>
    <x v="8"/>
    <s v="12"/>
    <s v="300"/>
    <s v="9999"/>
    <x v="24"/>
    <x v="24"/>
    <s v="999999"/>
    <s v="FS not applicable"/>
    <s v="9999"/>
    <n v="0"/>
    <n v="0"/>
    <n v="232.35"/>
    <n v="0"/>
    <n v="0"/>
    <s v="80120"/>
    <s v="80120"/>
    <s v="Y"/>
  </r>
  <r>
    <s v="2025"/>
    <s v="YRK03"/>
    <x v="23"/>
    <x v="23"/>
    <x v="8"/>
    <x v="8"/>
    <s v="12"/>
    <s v="300"/>
    <s v="9999"/>
    <x v="24"/>
    <x v="24"/>
    <s v="999999"/>
    <s v="FS not applicable"/>
    <s v="9999"/>
    <n v="0"/>
    <n v="0"/>
    <n v="0"/>
    <n v="0"/>
    <n v="463.5"/>
    <s v="80122"/>
    <s v="80122"/>
    <s v="Y"/>
  </r>
  <r>
    <s v="2025"/>
    <s v="YRK03"/>
    <x v="5"/>
    <x v="5"/>
    <x v="8"/>
    <x v="8"/>
    <s v="12"/>
    <s v="300"/>
    <s v="9999"/>
    <x v="24"/>
    <x v="24"/>
    <s v="999999"/>
    <s v="FS not applicable"/>
    <s v="9999"/>
    <n v="0"/>
    <n v="0"/>
    <n v="400"/>
    <n v="0"/>
    <n v="0"/>
    <s v="80122"/>
    <s v="80122"/>
    <s v="Y"/>
  </r>
  <r>
    <s v="2025"/>
    <s v="YRK03"/>
    <x v="0"/>
    <x v="0"/>
    <x v="8"/>
    <x v="8"/>
    <s v="12"/>
    <s v="300"/>
    <s v="9999"/>
    <x v="25"/>
    <x v="25"/>
    <s v="999999"/>
    <s v="FS not applicable"/>
    <s v="9999"/>
    <n v="6811.98"/>
    <n v="7000"/>
    <n v="139.41"/>
    <n v="48.61"/>
    <n v="0"/>
    <s v="80000"/>
    <s v="80050"/>
    <s v="Y"/>
  </r>
  <r>
    <s v="2025"/>
    <s v="YRK03"/>
    <x v="6"/>
    <x v="6"/>
    <x v="8"/>
    <x v="8"/>
    <s v="12"/>
    <s v="300"/>
    <s v="9999"/>
    <x v="25"/>
    <x v="25"/>
    <s v="999999"/>
    <s v="FS not applicable"/>
    <s v="9999"/>
    <n v="0"/>
    <n v="0"/>
    <n v="0"/>
    <n v="48.61"/>
    <n v="0"/>
    <s v="80120"/>
    <s v="80120"/>
    <s v="Y"/>
  </r>
  <r>
    <s v="2025"/>
    <s v="YRK03"/>
    <x v="8"/>
    <x v="8"/>
    <x v="8"/>
    <x v="8"/>
    <s v="12"/>
    <s v="300"/>
    <s v="9999"/>
    <x v="25"/>
    <x v="25"/>
    <s v="999999"/>
    <s v="FS not applicable"/>
    <s v="9999"/>
    <n v="0"/>
    <n v="0"/>
    <n v="139.41"/>
    <n v="0"/>
    <n v="0"/>
    <s v="80120"/>
    <s v="80120"/>
    <s v="Y"/>
  </r>
  <r>
    <s v="2025"/>
    <s v="YRK03"/>
    <x v="0"/>
    <x v="0"/>
    <x v="8"/>
    <x v="8"/>
    <s v="12"/>
    <s v="300"/>
    <s v="9999"/>
    <x v="26"/>
    <x v="26"/>
    <s v="999999"/>
    <s v="FS not applicable"/>
    <s v="9999"/>
    <n v="4388.57"/>
    <n v="7000"/>
    <n v="2304.11"/>
    <n v="296.52"/>
    <n v="10.8"/>
    <s v="80000"/>
    <s v="80050"/>
    <s v="Y"/>
  </r>
  <r>
    <s v="2025"/>
    <s v="YRK03"/>
    <x v="8"/>
    <x v="8"/>
    <x v="8"/>
    <x v="8"/>
    <s v="12"/>
    <s v="300"/>
    <s v="9999"/>
    <x v="26"/>
    <x v="26"/>
    <s v="999999"/>
    <s v="FS not applicable"/>
    <s v="9999"/>
    <n v="0"/>
    <n v="0"/>
    <n v="911.39"/>
    <n v="296.52"/>
    <n v="10.8"/>
    <s v="80120"/>
    <s v="80120"/>
    <s v="Y"/>
  </r>
  <r>
    <s v="2025"/>
    <s v="YRK03"/>
    <x v="21"/>
    <x v="21"/>
    <x v="8"/>
    <x v="8"/>
    <s v="12"/>
    <s v="300"/>
    <s v="9999"/>
    <x v="26"/>
    <x v="26"/>
    <s v="999999"/>
    <s v="FS not applicable"/>
    <s v="9999"/>
    <n v="0"/>
    <n v="0"/>
    <n v="392.72"/>
    <n v="0"/>
    <n v="0"/>
    <s v="80120"/>
    <s v="80120"/>
    <s v="Y"/>
  </r>
  <r>
    <s v="2025"/>
    <s v="YRK03"/>
    <x v="16"/>
    <x v="16"/>
    <x v="8"/>
    <x v="8"/>
    <s v="12"/>
    <s v="300"/>
    <s v="9999"/>
    <x v="26"/>
    <x v="26"/>
    <s v="999999"/>
    <s v="FS not applicable"/>
    <s v="9999"/>
    <n v="0"/>
    <n v="0"/>
    <n v="1000"/>
    <n v="0"/>
    <n v="0"/>
    <s v="80122"/>
    <s v="80122"/>
    <s v="Y"/>
  </r>
  <r>
    <s v="2025"/>
    <s v="YRK03"/>
    <x v="0"/>
    <x v="0"/>
    <x v="8"/>
    <x v="8"/>
    <s v="12"/>
    <s v="300"/>
    <s v="9999"/>
    <x v="27"/>
    <x v="27"/>
    <s v="999999"/>
    <s v="FS not applicable"/>
    <s v="9999"/>
    <n v="3212.78"/>
    <n v="7130"/>
    <n v="2153.79"/>
    <n v="1378"/>
    <n v="385.43"/>
    <s v="80000"/>
    <s v="80050"/>
    <s v="Y"/>
  </r>
  <r>
    <s v="2025"/>
    <s v="YRK03"/>
    <x v="7"/>
    <x v="7"/>
    <x v="8"/>
    <x v="8"/>
    <s v="12"/>
    <s v="300"/>
    <s v="9999"/>
    <x v="27"/>
    <x v="27"/>
    <s v="999999"/>
    <s v="FS not applicable"/>
    <s v="9999"/>
    <n v="0"/>
    <n v="0"/>
    <n v="2000"/>
    <n v="0"/>
    <n v="0"/>
    <s v="80120"/>
    <s v="80120"/>
    <s v="Y"/>
  </r>
  <r>
    <s v="2025"/>
    <s v="YRK03"/>
    <x v="8"/>
    <x v="8"/>
    <x v="8"/>
    <x v="8"/>
    <s v="12"/>
    <s v="300"/>
    <s v="9999"/>
    <x v="27"/>
    <x v="27"/>
    <s v="999999"/>
    <s v="FS not applicable"/>
    <s v="9999"/>
    <n v="0"/>
    <n v="0"/>
    <n v="153.79"/>
    <n v="0"/>
    <n v="258.31"/>
    <s v="80120"/>
    <s v="80120"/>
    <s v="Y"/>
  </r>
  <r>
    <s v="2025"/>
    <s v="YRK03"/>
    <x v="3"/>
    <x v="3"/>
    <x v="8"/>
    <x v="8"/>
    <s v="12"/>
    <s v="300"/>
    <s v="9999"/>
    <x v="27"/>
    <x v="27"/>
    <s v="999999"/>
    <s v="FS not applicable"/>
    <s v="9999"/>
    <n v="0"/>
    <n v="0"/>
    <n v="0"/>
    <n v="1378"/>
    <n v="0"/>
    <s v="80121"/>
    <s v="80121"/>
    <s v="Y"/>
  </r>
  <r>
    <s v="2025"/>
    <s v="YRK03"/>
    <x v="39"/>
    <x v="39"/>
    <x v="8"/>
    <x v="8"/>
    <s v="12"/>
    <s v="300"/>
    <s v="9999"/>
    <x v="27"/>
    <x v="27"/>
    <s v="999999"/>
    <s v="FS not applicable"/>
    <s v="9999"/>
    <n v="0"/>
    <n v="0"/>
    <n v="0"/>
    <n v="0"/>
    <n v="127.12"/>
    <s v="80122"/>
    <s v="80122"/>
    <s v="Y"/>
  </r>
  <r>
    <s v="2025"/>
    <s v="YRK03"/>
    <x v="0"/>
    <x v="0"/>
    <x v="8"/>
    <x v="8"/>
    <s v="12"/>
    <s v="300"/>
    <s v="9999"/>
    <x v="28"/>
    <x v="28"/>
    <s v="999999"/>
    <s v="FS not applicable"/>
    <s v="9999"/>
    <n v="6348.38"/>
    <n v="7000"/>
    <n v="50.66"/>
    <n v="0"/>
    <n v="600.96"/>
    <s v="80000"/>
    <s v="80050"/>
    <s v="Y"/>
  </r>
  <r>
    <s v="2025"/>
    <s v="YRK03"/>
    <x v="7"/>
    <x v="7"/>
    <x v="8"/>
    <x v="8"/>
    <s v="12"/>
    <s v="300"/>
    <s v="9999"/>
    <x v="28"/>
    <x v="28"/>
    <s v="999999"/>
    <s v="FS not applicable"/>
    <s v="9999"/>
    <n v="0"/>
    <n v="0"/>
    <n v="0"/>
    <n v="0"/>
    <n v="600.96"/>
    <s v="80120"/>
    <s v="80120"/>
    <s v="Y"/>
  </r>
  <r>
    <s v="2025"/>
    <s v="YRK03"/>
    <x v="21"/>
    <x v="21"/>
    <x v="8"/>
    <x v="8"/>
    <s v="12"/>
    <s v="300"/>
    <s v="9999"/>
    <x v="28"/>
    <x v="28"/>
    <s v="999999"/>
    <s v="FS not applicable"/>
    <s v="9999"/>
    <n v="0"/>
    <n v="0"/>
    <n v="50.66"/>
    <n v="0"/>
    <n v="0"/>
    <s v="80120"/>
    <s v="80120"/>
    <s v="Y"/>
  </r>
  <r>
    <s v="2025"/>
    <s v="YRK03"/>
    <x v="0"/>
    <x v="0"/>
    <x v="8"/>
    <x v="8"/>
    <s v="12"/>
    <s v="300"/>
    <s v="9999"/>
    <x v="29"/>
    <x v="29"/>
    <s v="999999"/>
    <s v="FS not applicable"/>
    <s v="9999"/>
    <n v="1501.16"/>
    <n v="7000"/>
    <n v="3659.4"/>
    <n v="893.64"/>
    <n v="945.8"/>
    <s v="80000"/>
    <s v="80050"/>
    <s v="Y"/>
  </r>
  <r>
    <s v="2025"/>
    <s v="YRK03"/>
    <x v="6"/>
    <x v="6"/>
    <x v="8"/>
    <x v="8"/>
    <s v="12"/>
    <s v="300"/>
    <s v="9999"/>
    <x v="29"/>
    <x v="29"/>
    <s v="999999"/>
    <s v="FS not applicable"/>
    <s v="9999"/>
    <n v="0"/>
    <n v="0"/>
    <n v="450.96"/>
    <n v="0"/>
    <n v="0"/>
    <s v="80120"/>
    <s v="80120"/>
    <s v="Y"/>
  </r>
  <r>
    <s v="2025"/>
    <s v="YRK03"/>
    <x v="8"/>
    <x v="8"/>
    <x v="8"/>
    <x v="8"/>
    <s v="12"/>
    <s v="300"/>
    <s v="9999"/>
    <x v="29"/>
    <x v="29"/>
    <s v="999999"/>
    <s v="FS not applicable"/>
    <s v="9999"/>
    <n v="0"/>
    <n v="0"/>
    <n v="0"/>
    <n v="893.64"/>
    <n v="945.8"/>
    <s v="80120"/>
    <s v="80120"/>
    <s v="Y"/>
  </r>
  <r>
    <s v="2025"/>
    <s v="YRK03"/>
    <x v="21"/>
    <x v="21"/>
    <x v="8"/>
    <x v="8"/>
    <s v="12"/>
    <s v="300"/>
    <s v="9999"/>
    <x v="29"/>
    <x v="29"/>
    <s v="999999"/>
    <s v="FS not applicable"/>
    <s v="9999"/>
    <n v="0"/>
    <n v="0"/>
    <n v="3208.44"/>
    <n v="0"/>
    <n v="0"/>
    <s v="80120"/>
    <s v="80120"/>
    <s v="Y"/>
  </r>
  <r>
    <s v="2025"/>
    <s v="YRK03"/>
    <x v="0"/>
    <x v="0"/>
    <x v="8"/>
    <x v="8"/>
    <s v="12"/>
    <s v="300"/>
    <s v="9999"/>
    <x v="30"/>
    <x v="30"/>
    <s v="999999"/>
    <s v="FS not applicable"/>
    <s v="9999"/>
    <n v="7000"/>
    <n v="7000"/>
    <n v="0"/>
    <n v="0"/>
    <n v="0"/>
    <s v="80000"/>
    <s v="80050"/>
    <s v="Y"/>
  </r>
  <r>
    <s v="2025"/>
    <s v="YRK03"/>
    <x v="0"/>
    <x v="0"/>
    <x v="8"/>
    <x v="8"/>
    <s v="12"/>
    <s v="300"/>
    <s v="9999"/>
    <x v="31"/>
    <x v="31"/>
    <s v="999999"/>
    <s v="FS not applicable"/>
    <s v="9999"/>
    <n v="7000"/>
    <n v="7000"/>
    <n v="0"/>
    <n v="0"/>
    <n v="0"/>
    <s v="80000"/>
    <s v="80050"/>
    <s v="Y"/>
  </r>
  <r>
    <s v="2025"/>
    <s v="YRK03"/>
    <x v="0"/>
    <x v="0"/>
    <x v="8"/>
    <x v="8"/>
    <s v="12"/>
    <s v="300"/>
    <s v="9999"/>
    <x v="0"/>
    <x v="0"/>
    <s v="999999"/>
    <s v="FS not applicable"/>
    <s v="9999"/>
    <n v="7392.62"/>
    <n v="7607"/>
    <n v="0"/>
    <n v="0"/>
    <n v="214.38"/>
    <s v="80000"/>
    <s v="80050"/>
    <s v="Y"/>
  </r>
  <r>
    <s v="2025"/>
    <s v="YRK03"/>
    <x v="7"/>
    <x v="7"/>
    <x v="8"/>
    <x v="8"/>
    <s v="12"/>
    <s v="300"/>
    <s v="9999"/>
    <x v="0"/>
    <x v="0"/>
    <s v="999999"/>
    <s v="FS not applicable"/>
    <s v="9999"/>
    <n v="0"/>
    <n v="0"/>
    <n v="0"/>
    <n v="0"/>
    <n v="214.38"/>
    <s v="80120"/>
    <s v="80120"/>
    <s v="Y"/>
  </r>
  <r>
    <s v="2025"/>
    <s v="YRK03"/>
    <x v="0"/>
    <x v="0"/>
    <x v="9"/>
    <x v="9"/>
    <s v="12"/>
    <s v="300"/>
    <s v="9999"/>
    <x v="0"/>
    <x v="0"/>
    <s v="999999"/>
    <s v="FS not applicable"/>
    <s v="9999"/>
    <n v="0"/>
    <n v="46511"/>
    <n v="0"/>
    <n v="0"/>
    <n v="46511"/>
    <s v="80000"/>
    <s v="80050"/>
    <s v="Y"/>
  </r>
  <r>
    <s v="2025"/>
    <s v="YRK03"/>
    <x v="29"/>
    <x v="29"/>
    <x v="9"/>
    <x v="9"/>
    <s v="12"/>
    <s v="300"/>
    <s v="9999"/>
    <x v="0"/>
    <x v="0"/>
    <s v="999999"/>
    <s v="FS not applicable"/>
    <s v="9999"/>
    <n v="0"/>
    <n v="0"/>
    <n v="0"/>
    <n v="0"/>
    <n v="46511"/>
    <s v="80122"/>
    <s v="80122"/>
    <s v="Y"/>
  </r>
  <r>
    <s v="2025"/>
    <s v="YRK03"/>
    <x v="0"/>
    <x v="0"/>
    <x v="10"/>
    <x v="10"/>
    <s v="12"/>
    <s v="300"/>
    <s v="9999"/>
    <x v="0"/>
    <x v="0"/>
    <s v="999999"/>
    <s v="FS not applicable"/>
    <s v="9999"/>
    <n v="6896"/>
    <n v="6896"/>
    <n v="0"/>
    <n v="0"/>
    <n v="0"/>
    <s v="80000"/>
    <s v="80050"/>
    <s v="Y"/>
  </r>
  <r>
    <s v="2025"/>
    <s v="YRK03"/>
    <x v="0"/>
    <x v="0"/>
    <x v="11"/>
    <x v="11"/>
    <s v="12"/>
    <s v="300"/>
    <s v="9999"/>
    <x v="7"/>
    <x v="7"/>
    <s v="999999"/>
    <s v="FS not applicable"/>
    <s v="9999"/>
    <n v="0"/>
    <n v="23180"/>
    <n v="0"/>
    <n v="0"/>
    <n v="23180"/>
    <s v="80000"/>
    <s v="80050"/>
    <s v="Y"/>
  </r>
  <r>
    <s v="2025"/>
    <s v="YRK03"/>
    <x v="5"/>
    <x v="5"/>
    <x v="11"/>
    <x v="11"/>
    <s v="12"/>
    <s v="300"/>
    <s v="9999"/>
    <x v="7"/>
    <x v="7"/>
    <s v="999999"/>
    <s v="FS not applicable"/>
    <s v="9999"/>
    <n v="0"/>
    <n v="0"/>
    <n v="0"/>
    <n v="0"/>
    <n v="23180"/>
    <s v="80122"/>
    <s v="80122"/>
    <s v="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8FB348-8F19-450F-ABD8-480C732E1FDA}" name="PivotTable4" cacheId="151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F70" firstHeaderRow="0" firstDataRow="1" firstDataCol="1" rowPageCount="1" colPageCount="1"/>
  <pivotFields count="22">
    <pivotField subtotalTop="0" showAll="0"/>
    <pivotField subtotalTop="0" showAll="0"/>
    <pivotField axis="axisPage" subtotalTop="0" multipleItemSelectionAllowed="1" showAll="0">
      <items count="41">
        <item h="1" x="6"/>
        <item h="1" x="7"/>
        <item h="1" x="8"/>
        <item h="1" x="9"/>
        <item h="1" x="30"/>
        <item h="1" x="10"/>
        <item h="1" x="23"/>
        <item h="1" x="14"/>
        <item h="1" x="31"/>
        <item h="1" x="3"/>
        <item h="1" x="22"/>
        <item h="1" x="38"/>
        <item h="1" x="32"/>
        <item h="1" x="4"/>
        <item h="1" x="12"/>
        <item h="1" x="33"/>
        <item h="1" x="24"/>
        <item h="1" x="13"/>
        <item h="1" x="39"/>
        <item h="1" x="15"/>
        <item h="1" x="35"/>
        <item h="1" x="36"/>
        <item h="1" x="5"/>
        <item h="1" x="25"/>
        <item h="1" x="21"/>
        <item h="1" x="37"/>
        <item h="1" x="11"/>
        <item h="1" x="16"/>
        <item h="1" x="29"/>
        <item h="1" x="20"/>
        <item h="1" x="17"/>
        <item h="1" x="18"/>
        <item h="1" x="26"/>
        <item h="1" x="28"/>
        <item h="1" x="1"/>
        <item h="1" x="19"/>
        <item h="1" x="27"/>
        <item h="1" x="34"/>
        <item x="2"/>
        <item x="0"/>
        <item t="default"/>
      </items>
    </pivotField>
    <pivotField subtotalTop="0" showAll="0"/>
    <pivotField subtotalTop="0" showAll="0"/>
    <pivotField axis="axisRow" subtotalTop="0" showAll="0">
      <items count="13">
        <item x="4"/>
        <item x="2"/>
        <item x="1"/>
        <item x="5"/>
        <item x="0"/>
        <item x="6"/>
        <item x="7"/>
        <item x="8"/>
        <item x="9"/>
        <item x="10"/>
        <item x="3"/>
        <item x="11"/>
        <item t="default"/>
      </items>
    </pivotField>
    <pivotField subtotalTop="0" showAll="0"/>
    <pivotField subtotalTop="0" showAll="0"/>
    <pivotField subtotalTop="0" showAll="0"/>
    <pivotField subtotalTop="0" showAll="0">
      <items count="33">
        <item x="2"/>
        <item x="3"/>
        <item x="4"/>
        <item x="5"/>
        <item x="14"/>
        <item x="15"/>
        <item x="16"/>
        <item x="17"/>
        <item x="18"/>
        <item x="19"/>
        <item x="6"/>
        <item x="7"/>
        <item x="20"/>
        <item x="21"/>
        <item x="8"/>
        <item x="22"/>
        <item x="23"/>
        <item x="24"/>
        <item x="25"/>
        <item x="26"/>
        <item x="27"/>
        <item x="28"/>
        <item x="29"/>
        <item x="30"/>
        <item x="31"/>
        <item x="9"/>
        <item x="10"/>
        <item x="11"/>
        <item x="12"/>
        <item x="1"/>
        <item x="13"/>
        <item x="0"/>
        <item t="default"/>
      </items>
    </pivotField>
    <pivotField axis="axisRow" subtotalTop="0" showAll="0">
      <items count="33">
        <item x="23"/>
        <item x="2"/>
        <item x="31"/>
        <item x="22"/>
        <item x="3"/>
        <item x="4"/>
        <item x="5"/>
        <item x="14"/>
        <item x="27"/>
        <item x="10"/>
        <item x="15"/>
        <item x="16"/>
        <item x="17"/>
        <item x="18"/>
        <item x="1"/>
        <item x="19"/>
        <item x="12"/>
        <item x="6"/>
        <item x="26"/>
        <item x="7"/>
        <item x="13"/>
        <item x="20"/>
        <item x="21"/>
        <item x="30"/>
        <item x="29"/>
        <item x="9"/>
        <item x="0"/>
        <item x="25"/>
        <item x="28"/>
        <item x="8"/>
        <item x="11"/>
        <item x="24"/>
        <item t="default"/>
      </items>
    </pivotField>
    <pivotField subtotalTop="0" showAll="0"/>
    <pivotField subtotalTop="0" showAll="0"/>
    <pivotField subtotalTop="0" showAll="0"/>
    <pivotField dataField="1" numFmtId="2" subtotalTop="0" showAll="0"/>
    <pivotField dataField="1" numFmtId="2" subtotalTop="0" showAll="0"/>
    <pivotField dataField="1" numFmtId="2" subtotalTop="0" showAll="0"/>
    <pivotField dataField="1" numFmtId="2" subtotalTop="0" showAll="0"/>
    <pivotField dataField="1" numFmtId="2" subtotalTop="0" showAll="0"/>
    <pivotField subtotalTop="0" showAll="0"/>
    <pivotField subtotalTop="0" showAll="0"/>
    <pivotField subtotalTop="0" showAll="0"/>
  </pivotFields>
  <rowFields count="2">
    <field x="5"/>
    <field x="10"/>
  </rowFields>
  <rowItems count="67">
    <i>
      <x/>
    </i>
    <i r="1">
      <x v="14"/>
    </i>
    <i t="default">
      <x/>
    </i>
    <i>
      <x v="1"/>
    </i>
    <i r="1">
      <x v="26"/>
    </i>
    <i t="default">
      <x v="1"/>
    </i>
    <i>
      <x v="2"/>
    </i>
    <i r="1">
      <x v="26"/>
    </i>
    <i t="default">
      <x v="2"/>
    </i>
    <i>
      <x v="3"/>
    </i>
    <i r="1">
      <x v="26"/>
    </i>
    <i t="default">
      <x v="3"/>
    </i>
    <i>
      <x v="4"/>
    </i>
    <i r="1">
      <x v="26"/>
    </i>
    <i t="default">
      <x v="4"/>
    </i>
    <i>
      <x v="5"/>
    </i>
    <i r="1">
      <x v="26"/>
    </i>
    <i t="default">
      <x v="5"/>
    </i>
    <i>
      <x v="6"/>
    </i>
    <i r="1">
      <x v="1"/>
    </i>
    <i r="1">
      <x v="4"/>
    </i>
    <i r="1">
      <x v="5"/>
    </i>
    <i r="1">
      <x v="6"/>
    </i>
    <i r="1">
      <x v="9"/>
    </i>
    <i r="1">
      <x v="16"/>
    </i>
    <i r="1">
      <x v="17"/>
    </i>
    <i r="1">
      <x v="19"/>
    </i>
    <i r="1">
      <x v="20"/>
    </i>
    <i r="1">
      <x v="25"/>
    </i>
    <i r="1">
      <x v="26"/>
    </i>
    <i r="1">
      <x v="29"/>
    </i>
    <i r="1">
      <x v="30"/>
    </i>
    <i t="default">
      <x v="6"/>
    </i>
    <i>
      <x v="7"/>
    </i>
    <i r="1">
      <x/>
    </i>
    <i r="1">
      <x v="2"/>
    </i>
    <i r="1">
      <x v="3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5"/>
    </i>
    <i r="1">
      <x v="18"/>
    </i>
    <i r="1">
      <x v="21"/>
    </i>
    <i r="1">
      <x v="22"/>
    </i>
    <i r="1">
      <x v="23"/>
    </i>
    <i r="1">
      <x v="24"/>
    </i>
    <i r="1">
      <x v="26"/>
    </i>
    <i r="1">
      <x v="27"/>
    </i>
    <i r="1">
      <x v="28"/>
    </i>
    <i r="1">
      <x v="31"/>
    </i>
    <i t="default">
      <x v="7"/>
    </i>
    <i>
      <x v="8"/>
    </i>
    <i r="1">
      <x v="26"/>
    </i>
    <i t="default">
      <x v="8"/>
    </i>
    <i>
      <x v="9"/>
    </i>
    <i r="1">
      <x v="26"/>
    </i>
    <i t="default">
      <x v="9"/>
    </i>
    <i>
      <x v="10"/>
    </i>
    <i r="1">
      <x v="26"/>
    </i>
    <i t="default">
      <x v="10"/>
    </i>
    <i>
      <x v="11"/>
    </i>
    <i r="1">
      <x v="19"/>
    </i>
    <i t="default">
      <x v="1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2" hier="-1"/>
  </pageFields>
  <dataFields count="5">
    <dataField name="Sum of Allocated Budget" fld="15" baseField="0" baseItem="0"/>
    <dataField name="Sum of Pre-Encumbrances" fld="16" baseField="0" baseItem="0"/>
    <dataField name="Sum of Encumbrances" fld="17" baseField="0" baseItem="0"/>
    <dataField name="Sum of Expenditures" fld="18" baseField="0" baseItem="0"/>
    <dataField name="Sum of Available Budget" fld="14" baseField="0" baseItem="0"/>
  </dataFields>
  <formats count="19">
    <format dxfId="0">
      <pivotArea type="all" dataOnly="0" outline="0" fieldPosition="0"/>
    </format>
    <format dxfId="1">
      <pivotArea outline="0" collapsedLevelsAreSubtotals="1" fieldPosition="0"/>
    </format>
    <format dxfId="2">
      <pivotArea field="5" type="button" dataOnly="0" labelOnly="1" outline="0" axis="axisRow" fieldPosition="0"/>
    </format>
    <format dxfId="3">
      <pivotArea dataOnly="0" labelOnly="1" fieldPosition="0">
        <references count="1">
          <reference field="5" count="0"/>
        </references>
      </pivotArea>
    </format>
    <format dxfId="4">
      <pivotArea dataOnly="0" labelOnly="1" fieldPosition="0">
        <references count="1">
          <reference field="5" count="0" defaultSubtotal="1"/>
        </references>
      </pivotArea>
    </format>
    <format dxfId="5">
      <pivotArea dataOnly="0" labelOnly="1" grandRow="1" outline="0" fieldPosition="0"/>
    </format>
    <format dxfId="6">
      <pivotArea dataOnly="0" labelOnly="1" fieldPosition="0">
        <references count="2">
          <reference field="5" count="1" selected="0">
            <x v="0"/>
          </reference>
          <reference field="10" count="1">
            <x v="14"/>
          </reference>
        </references>
      </pivotArea>
    </format>
    <format dxfId="7">
      <pivotArea dataOnly="0" labelOnly="1" fieldPosition="0">
        <references count="2">
          <reference field="5" count="1" selected="0">
            <x v="1"/>
          </reference>
          <reference field="10" count="1">
            <x v="26"/>
          </reference>
        </references>
      </pivotArea>
    </format>
    <format dxfId="8">
      <pivotArea dataOnly="0" labelOnly="1" fieldPosition="0">
        <references count="2">
          <reference field="5" count="1" selected="0">
            <x v="2"/>
          </reference>
          <reference field="10" count="1">
            <x v="26"/>
          </reference>
        </references>
      </pivotArea>
    </format>
    <format dxfId="9">
      <pivotArea dataOnly="0" labelOnly="1" fieldPosition="0">
        <references count="2">
          <reference field="5" count="1" selected="0">
            <x v="3"/>
          </reference>
          <reference field="10" count="1">
            <x v="26"/>
          </reference>
        </references>
      </pivotArea>
    </format>
    <format dxfId="10">
      <pivotArea dataOnly="0" labelOnly="1" fieldPosition="0">
        <references count="2">
          <reference field="5" count="1" selected="0">
            <x v="4"/>
          </reference>
          <reference field="10" count="1">
            <x v="26"/>
          </reference>
        </references>
      </pivotArea>
    </format>
    <format dxfId="11">
      <pivotArea dataOnly="0" labelOnly="1" fieldPosition="0">
        <references count="2">
          <reference field="5" count="1" selected="0">
            <x v="5"/>
          </reference>
          <reference field="10" count="1">
            <x v="26"/>
          </reference>
        </references>
      </pivotArea>
    </format>
    <format dxfId="12">
      <pivotArea dataOnly="0" labelOnly="1" fieldPosition="0">
        <references count="2">
          <reference field="5" count="1" selected="0">
            <x v="6"/>
          </reference>
          <reference field="10" count="13">
            <x v="1"/>
            <x v="4"/>
            <x v="5"/>
            <x v="6"/>
            <x v="9"/>
            <x v="16"/>
            <x v="17"/>
            <x v="19"/>
            <x v="20"/>
            <x v="25"/>
            <x v="26"/>
            <x v="29"/>
            <x v="30"/>
          </reference>
        </references>
      </pivotArea>
    </format>
    <format dxfId="13">
      <pivotArea dataOnly="0" labelOnly="1" fieldPosition="0">
        <references count="2">
          <reference field="5" count="1" selected="0">
            <x v="7"/>
          </reference>
          <reference field="10" count="19">
            <x v="0"/>
            <x v="2"/>
            <x v="3"/>
            <x v="7"/>
            <x v="8"/>
            <x v="10"/>
            <x v="11"/>
            <x v="12"/>
            <x v="13"/>
            <x v="15"/>
            <x v="18"/>
            <x v="21"/>
            <x v="22"/>
            <x v="23"/>
            <x v="24"/>
            <x v="26"/>
            <x v="27"/>
            <x v="28"/>
            <x v="31"/>
          </reference>
        </references>
      </pivotArea>
    </format>
    <format dxfId="14">
      <pivotArea dataOnly="0" labelOnly="1" fieldPosition="0">
        <references count="2">
          <reference field="5" count="1" selected="0">
            <x v="8"/>
          </reference>
          <reference field="10" count="1">
            <x v="26"/>
          </reference>
        </references>
      </pivotArea>
    </format>
    <format dxfId="15">
      <pivotArea dataOnly="0" labelOnly="1" fieldPosition="0">
        <references count="2">
          <reference field="5" count="1" selected="0">
            <x v="9"/>
          </reference>
          <reference field="10" count="1">
            <x v="26"/>
          </reference>
        </references>
      </pivotArea>
    </format>
    <format dxfId="16">
      <pivotArea dataOnly="0" labelOnly="1" fieldPosition="0">
        <references count="2">
          <reference field="5" count="1" selected="0">
            <x v="10"/>
          </reference>
          <reference field="10" count="1">
            <x v="26"/>
          </reference>
        </references>
      </pivotArea>
    </format>
    <format dxfId="17">
      <pivotArea dataOnly="0" labelOnly="1" fieldPosition="0">
        <references count="2">
          <reference field="5" count="1" selected="0">
            <x v="11"/>
          </reference>
          <reference field="10" count="1">
            <x v="19"/>
          </reference>
        </references>
      </pivotArea>
    </format>
    <format dxfId="1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9F312-678C-46B3-8508-5D106DE0F576}">
  <sheetPr>
    <tabColor rgb="FF92D050"/>
  </sheetPr>
  <dimension ref="A1:H70"/>
  <sheetViews>
    <sheetView topLeftCell="A52" workbookViewId="0">
      <selection activeCell="A67" sqref="A67"/>
    </sheetView>
  </sheetViews>
  <sheetFormatPr defaultColWidth="8.85546875" defaultRowHeight="15"/>
  <cols>
    <col min="1" max="1" width="33.85546875" style="62" bestFit="1" customWidth="1"/>
    <col min="2" max="2" width="23.140625" style="254" bestFit="1" customWidth="1"/>
    <col min="3" max="3" width="24.42578125" style="254" bestFit="1" customWidth="1"/>
    <col min="4" max="4" width="20.5703125" style="254" bestFit="1" customWidth="1"/>
    <col min="5" max="5" width="19.5703125" style="254" bestFit="1" customWidth="1"/>
    <col min="6" max="6" width="23" style="254" bestFit="1" customWidth="1"/>
    <col min="7" max="7" width="25.85546875" style="62" bestFit="1" customWidth="1"/>
    <col min="8" max="16384" width="8.85546875" style="62"/>
  </cols>
  <sheetData>
    <row r="1" spans="1:8">
      <c r="A1" s="255" t="s">
        <v>0</v>
      </c>
      <c r="B1" s="254" t="s">
        <v>1</v>
      </c>
    </row>
    <row r="3" spans="1:8">
      <c r="A3" s="255" t="s">
        <v>2</v>
      </c>
      <c r="B3" s="256" t="s">
        <v>3</v>
      </c>
      <c r="C3" s="256" t="s">
        <v>4</v>
      </c>
      <c r="D3" s="256" t="s">
        <v>5</v>
      </c>
      <c r="E3" s="256" t="s">
        <v>6</v>
      </c>
      <c r="F3" s="256" t="s">
        <v>7</v>
      </c>
      <c r="G3" s="255"/>
      <c r="H3" s="255"/>
    </row>
    <row r="4" spans="1:8">
      <c r="A4" s="64" t="s">
        <v>8</v>
      </c>
    </row>
    <row r="5" spans="1:8">
      <c r="A5" s="253" t="s">
        <v>9</v>
      </c>
      <c r="B5" s="254">
        <v>290000</v>
      </c>
      <c r="C5" s="254">
        <v>16102.32</v>
      </c>
      <c r="D5" s="254">
        <v>23207.31</v>
      </c>
      <c r="E5" s="254">
        <v>218218.8</v>
      </c>
      <c r="F5" s="254">
        <v>32471.57</v>
      </c>
    </row>
    <row r="6" spans="1:8">
      <c r="A6" s="64" t="s">
        <v>10</v>
      </c>
      <c r="B6" s="254">
        <v>290000</v>
      </c>
      <c r="C6" s="254">
        <v>16102.32</v>
      </c>
      <c r="D6" s="254">
        <v>23207.31</v>
      </c>
      <c r="E6" s="254">
        <v>218218.8</v>
      </c>
      <c r="F6" s="254">
        <v>32471.57</v>
      </c>
    </row>
    <row r="7" spans="1:8">
      <c r="A7" s="64" t="s">
        <v>11</v>
      </c>
    </row>
    <row r="8" spans="1:8">
      <c r="A8" s="253" t="s">
        <v>12</v>
      </c>
      <c r="B8" s="254">
        <v>62827</v>
      </c>
      <c r="C8" s="254">
        <v>111</v>
      </c>
      <c r="D8" s="254">
        <v>2922.52</v>
      </c>
      <c r="E8" s="254">
        <v>9439.92</v>
      </c>
      <c r="F8" s="254">
        <v>50353.56</v>
      </c>
    </row>
    <row r="9" spans="1:8">
      <c r="A9" s="64" t="s">
        <v>13</v>
      </c>
      <c r="B9" s="254">
        <v>62827</v>
      </c>
      <c r="C9" s="254">
        <v>111</v>
      </c>
      <c r="D9" s="254">
        <v>2922.52</v>
      </c>
      <c r="E9" s="254">
        <v>9439.92</v>
      </c>
      <c r="F9" s="254">
        <v>50353.56</v>
      </c>
    </row>
    <row r="10" spans="1:8">
      <c r="A10" s="64" t="s">
        <v>14</v>
      </c>
    </row>
    <row r="11" spans="1:8">
      <c r="A11" s="253" t="s">
        <v>12</v>
      </c>
      <c r="B11" s="254">
        <v>11493</v>
      </c>
      <c r="C11" s="254">
        <v>0</v>
      </c>
      <c r="D11" s="254">
        <v>0</v>
      </c>
      <c r="E11" s="254">
        <v>0</v>
      </c>
      <c r="F11" s="254">
        <v>11493</v>
      </c>
    </row>
    <row r="12" spans="1:8">
      <c r="A12" s="64" t="s">
        <v>15</v>
      </c>
      <c r="B12" s="254">
        <v>11493</v>
      </c>
      <c r="C12" s="254">
        <v>0</v>
      </c>
      <c r="D12" s="254">
        <v>0</v>
      </c>
      <c r="E12" s="254">
        <v>0</v>
      </c>
      <c r="F12" s="254">
        <v>11493</v>
      </c>
    </row>
    <row r="13" spans="1:8">
      <c r="A13" s="64" t="s">
        <v>16</v>
      </c>
    </row>
    <row r="14" spans="1:8">
      <c r="A14" s="253" t="s">
        <v>12</v>
      </c>
      <c r="B14" s="254">
        <v>58304</v>
      </c>
      <c r="C14" s="254">
        <v>0</v>
      </c>
      <c r="D14" s="254">
        <v>0</v>
      </c>
      <c r="E14" s="254">
        <v>58303.08</v>
      </c>
      <c r="F14" s="254">
        <v>0.92</v>
      </c>
    </row>
    <row r="15" spans="1:8">
      <c r="A15" s="64" t="s">
        <v>17</v>
      </c>
      <c r="B15" s="254">
        <v>58304</v>
      </c>
      <c r="C15" s="254">
        <v>0</v>
      </c>
      <c r="D15" s="254">
        <v>0</v>
      </c>
      <c r="E15" s="254">
        <v>58303.08</v>
      </c>
      <c r="F15" s="254">
        <v>0.92</v>
      </c>
    </row>
    <row r="16" spans="1:8">
      <c r="A16" s="64" t="s">
        <v>18</v>
      </c>
    </row>
    <row r="17" spans="1:6">
      <c r="A17" s="253" t="s">
        <v>12</v>
      </c>
      <c r="B17" s="254">
        <v>15324</v>
      </c>
      <c r="C17" s="254">
        <v>0</v>
      </c>
      <c r="D17" s="254">
        <v>5000</v>
      </c>
      <c r="E17" s="254">
        <v>0</v>
      </c>
      <c r="F17" s="254">
        <v>10324</v>
      </c>
    </row>
    <row r="18" spans="1:6">
      <c r="A18" s="64" t="s">
        <v>19</v>
      </c>
      <c r="B18" s="254">
        <v>15324</v>
      </c>
      <c r="C18" s="254">
        <v>0</v>
      </c>
      <c r="D18" s="254">
        <v>5000</v>
      </c>
      <c r="E18" s="254">
        <v>0</v>
      </c>
      <c r="F18" s="254">
        <v>10324</v>
      </c>
    </row>
    <row r="19" spans="1:6">
      <c r="A19" s="64" t="s">
        <v>20</v>
      </c>
    </row>
    <row r="20" spans="1:6">
      <c r="A20" s="253" t="s">
        <v>12</v>
      </c>
      <c r="B20" s="254">
        <v>375880.21</v>
      </c>
      <c r="C20" s="254">
        <v>29362.34</v>
      </c>
      <c r="D20" s="254">
        <v>49803.62</v>
      </c>
      <c r="E20" s="254">
        <v>111026.92</v>
      </c>
      <c r="F20" s="254">
        <v>185687.33</v>
      </c>
    </row>
    <row r="21" spans="1:6">
      <c r="A21" s="64" t="s">
        <v>21</v>
      </c>
      <c r="B21" s="254">
        <v>375880.21</v>
      </c>
      <c r="C21" s="254">
        <v>29362.34</v>
      </c>
      <c r="D21" s="254">
        <v>49803.62</v>
      </c>
      <c r="E21" s="254">
        <v>111026.92</v>
      </c>
      <c r="F21" s="254">
        <v>185687.33</v>
      </c>
    </row>
    <row r="22" spans="1:6">
      <c r="A22" s="64" t="s">
        <v>22</v>
      </c>
    </row>
    <row r="23" spans="1:6">
      <c r="A23" s="253" t="s">
        <v>23</v>
      </c>
      <c r="B23" s="254">
        <v>2800</v>
      </c>
      <c r="C23" s="254">
        <v>0</v>
      </c>
      <c r="D23" s="254">
        <v>0</v>
      </c>
      <c r="E23" s="254">
        <v>600</v>
      </c>
      <c r="F23" s="254">
        <v>2200</v>
      </c>
    </row>
    <row r="24" spans="1:6">
      <c r="A24" s="253" t="s">
        <v>24</v>
      </c>
      <c r="B24" s="254">
        <v>3300</v>
      </c>
      <c r="C24" s="254">
        <v>0</v>
      </c>
      <c r="D24" s="254">
        <v>2855</v>
      </c>
      <c r="E24" s="254">
        <v>0</v>
      </c>
      <c r="F24" s="254">
        <v>445</v>
      </c>
    </row>
    <row r="25" spans="1:6">
      <c r="A25" s="253" t="s">
        <v>25</v>
      </c>
      <c r="B25" s="254">
        <v>25000</v>
      </c>
      <c r="C25" s="254">
        <v>1952.35</v>
      </c>
      <c r="D25" s="254">
        <v>588</v>
      </c>
      <c r="E25" s="254">
        <v>6007.02</v>
      </c>
      <c r="F25" s="254">
        <v>16452.63</v>
      </c>
    </row>
    <row r="26" spans="1:6">
      <c r="A26" s="253" t="s">
        <v>26</v>
      </c>
      <c r="B26" s="254">
        <v>3300</v>
      </c>
      <c r="C26" s="254">
        <v>0</v>
      </c>
      <c r="D26" s="254">
        <v>0</v>
      </c>
      <c r="E26" s="254">
        <v>0</v>
      </c>
      <c r="F26" s="254">
        <v>3300</v>
      </c>
    </row>
    <row r="27" spans="1:6">
      <c r="A27" s="253" t="s">
        <v>27</v>
      </c>
      <c r="B27" s="254">
        <v>1200</v>
      </c>
      <c r="C27" s="254">
        <v>0</v>
      </c>
      <c r="D27" s="254">
        <v>0</v>
      </c>
      <c r="E27" s="254">
        <v>1155</v>
      </c>
      <c r="F27" s="254">
        <v>45</v>
      </c>
    </row>
    <row r="28" spans="1:6">
      <c r="A28" s="253" t="s">
        <v>28</v>
      </c>
      <c r="B28" s="254">
        <v>3150</v>
      </c>
      <c r="C28" s="254">
        <v>0</v>
      </c>
      <c r="D28" s="254">
        <v>0</v>
      </c>
      <c r="E28" s="254">
        <v>3150</v>
      </c>
      <c r="F28" s="254">
        <v>0</v>
      </c>
    </row>
    <row r="29" spans="1:6">
      <c r="A29" s="253" t="s">
        <v>29</v>
      </c>
      <c r="B29" s="254">
        <v>3300</v>
      </c>
      <c r="C29" s="254">
        <v>0</v>
      </c>
      <c r="D29" s="254">
        <v>0</v>
      </c>
      <c r="E29" s="254">
        <v>3000</v>
      </c>
      <c r="F29" s="254">
        <v>300</v>
      </c>
    </row>
    <row r="30" spans="1:6">
      <c r="A30" s="253" t="s">
        <v>30</v>
      </c>
      <c r="B30" s="254">
        <v>27145</v>
      </c>
      <c r="C30" s="254">
        <v>0</v>
      </c>
      <c r="D30" s="254">
        <v>0</v>
      </c>
      <c r="E30" s="254">
        <v>0</v>
      </c>
      <c r="F30" s="254">
        <v>27145</v>
      </c>
    </row>
    <row r="31" spans="1:6">
      <c r="A31" s="253" t="s">
        <v>31</v>
      </c>
      <c r="B31" s="254">
        <v>103342.14</v>
      </c>
      <c r="C31" s="254">
        <v>0</v>
      </c>
      <c r="D31" s="254">
        <v>0</v>
      </c>
      <c r="E31" s="254">
        <v>103342.14</v>
      </c>
      <c r="F31" s="254">
        <v>0</v>
      </c>
    </row>
    <row r="32" spans="1:6">
      <c r="A32" s="253" t="s">
        <v>32</v>
      </c>
      <c r="B32" s="254">
        <v>4000</v>
      </c>
      <c r="C32" s="254">
        <v>0</v>
      </c>
      <c r="D32" s="254">
        <v>0</v>
      </c>
      <c r="E32" s="254">
        <v>1690</v>
      </c>
      <c r="F32" s="254">
        <v>2310</v>
      </c>
    </row>
    <row r="33" spans="1:6">
      <c r="A33" s="253" t="s">
        <v>12</v>
      </c>
      <c r="B33" s="254">
        <v>57300</v>
      </c>
      <c r="C33" s="254">
        <v>4500</v>
      </c>
      <c r="D33" s="254">
        <v>0</v>
      </c>
      <c r="E33" s="254">
        <v>24411.06</v>
      </c>
      <c r="F33" s="254">
        <v>28388.94</v>
      </c>
    </row>
    <row r="34" spans="1:6">
      <c r="A34" s="253" t="s">
        <v>33</v>
      </c>
      <c r="B34" s="254">
        <v>8900</v>
      </c>
      <c r="C34" s="254">
        <v>0</v>
      </c>
      <c r="D34" s="254">
        <v>0</v>
      </c>
      <c r="E34" s="254">
        <v>8896.51</v>
      </c>
      <c r="F34" s="254">
        <v>3.49</v>
      </c>
    </row>
    <row r="35" spans="1:6">
      <c r="A35" s="253" t="s">
        <v>34</v>
      </c>
      <c r="B35" s="254">
        <v>100981.7</v>
      </c>
      <c r="C35" s="254">
        <v>2010.76</v>
      </c>
      <c r="D35" s="254">
        <v>30703.11</v>
      </c>
      <c r="E35" s="254">
        <v>45740.66</v>
      </c>
      <c r="F35" s="254">
        <v>22527.17</v>
      </c>
    </row>
    <row r="36" spans="1:6">
      <c r="A36" s="64" t="s">
        <v>35</v>
      </c>
      <c r="B36" s="254">
        <v>343718.84</v>
      </c>
      <c r="C36" s="254">
        <v>8463.11</v>
      </c>
      <c r="D36" s="254">
        <v>34146.11</v>
      </c>
      <c r="E36" s="254">
        <v>197992.39</v>
      </c>
      <c r="F36" s="254">
        <v>103117.23000000001</v>
      </c>
    </row>
    <row r="37" spans="1:6">
      <c r="A37" s="64" t="s">
        <v>36</v>
      </c>
    </row>
    <row r="38" spans="1:6">
      <c r="A38" s="253" t="s">
        <v>37</v>
      </c>
      <c r="B38" s="254">
        <v>7000</v>
      </c>
      <c r="C38" s="254">
        <v>0</v>
      </c>
      <c r="D38" s="254">
        <v>0</v>
      </c>
      <c r="E38" s="254">
        <v>0</v>
      </c>
      <c r="F38" s="254">
        <v>7000</v>
      </c>
    </row>
    <row r="39" spans="1:6">
      <c r="A39" s="253" t="s">
        <v>38</v>
      </c>
      <c r="B39" s="254">
        <v>7000</v>
      </c>
      <c r="C39" s="254">
        <v>0</v>
      </c>
      <c r="D39" s="254">
        <v>0</v>
      </c>
      <c r="E39" s="254">
        <v>0</v>
      </c>
      <c r="F39" s="254">
        <v>7000</v>
      </c>
    </row>
    <row r="40" spans="1:6">
      <c r="A40" s="253" t="s">
        <v>39</v>
      </c>
      <c r="B40" s="254">
        <v>7000</v>
      </c>
      <c r="C40" s="254">
        <v>0</v>
      </c>
      <c r="D40" s="254">
        <v>0</v>
      </c>
      <c r="E40" s="254">
        <v>0</v>
      </c>
      <c r="F40" s="254">
        <v>7000</v>
      </c>
    </row>
    <row r="41" spans="1:6">
      <c r="A41" s="253" t="s">
        <v>40</v>
      </c>
      <c r="B41" s="254">
        <v>7000</v>
      </c>
      <c r="C41" s="254">
        <v>0</v>
      </c>
      <c r="D41" s="254">
        <v>0</v>
      </c>
      <c r="E41" s="254">
        <v>0</v>
      </c>
      <c r="F41" s="254">
        <v>7000</v>
      </c>
    </row>
    <row r="42" spans="1:6">
      <c r="A42" s="253" t="s">
        <v>41</v>
      </c>
      <c r="B42" s="254">
        <v>7130</v>
      </c>
      <c r="C42" s="254">
        <v>2153.79</v>
      </c>
      <c r="D42" s="254">
        <v>1378</v>
      </c>
      <c r="E42" s="254">
        <v>385.43</v>
      </c>
      <c r="F42" s="254">
        <v>3212.78</v>
      </c>
    </row>
    <row r="43" spans="1:6">
      <c r="A43" s="253" t="s">
        <v>42</v>
      </c>
      <c r="B43" s="254">
        <v>7000</v>
      </c>
      <c r="C43" s="254">
        <v>0</v>
      </c>
      <c r="D43" s="254">
        <v>0</v>
      </c>
      <c r="E43" s="254">
        <v>0</v>
      </c>
      <c r="F43" s="254">
        <v>7000</v>
      </c>
    </row>
    <row r="44" spans="1:6">
      <c r="A44" s="253" t="s">
        <v>43</v>
      </c>
      <c r="B44" s="254">
        <v>7000</v>
      </c>
      <c r="C44" s="254">
        <v>0</v>
      </c>
      <c r="D44" s="254">
        <v>0</v>
      </c>
      <c r="E44" s="254">
        <v>0</v>
      </c>
      <c r="F44" s="254">
        <v>7000</v>
      </c>
    </row>
    <row r="45" spans="1:6">
      <c r="A45" s="253" t="s">
        <v>44</v>
      </c>
      <c r="B45" s="254">
        <v>7000</v>
      </c>
      <c r="C45" s="254">
        <v>800</v>
      </c>
      <c r="D45" s="254">
        <v>1025.98</v>
      </c>
      <c r="E45" s="254">
        <v>3544.69</v>
      </c>
      <c r="F45" s="254">
        <v>1629.33</v>
      </c>
    </row>
    <row r="46" spans="1:6">
      <c r="A46" s="253" t="s">
        <v>45</v>
      </c>
      <c r="B46" s="254">
        <v>7000</v>
      </c>
      <c r="C46" s="254">
        <v>1214.32</v>
      </c>
      <c r="D46" s="254">
        <v>887.5</v>
      </c>
      <c r="E46" s="254">
        <v>0</v>
      </c>
      <c r="F46" s="254">
        <v>4898.18</v>
      </c>
    </row>
    <row r="47" spans="1:6">
      <c r="A47" s="253" t="s">
        <v>46</v>
      </c>
      <c r="B47" s="254">
        <v>7000</v>
      </c>
      <c r="C47" s="254">
        <v>0</v>
      </c>
      <c r="D47" s="254">
        <v>0</v>
      </c>
      <c r="E47" s="254">
        <v>0</v>
      </c>
      <c r="F47" s="254">
        <v>7000</v>
      </c>
    </row>
    <row r="48" spans="1:6">
      <c r="A48" s="253" t="s">
        <v>47</v>
      </c>
      <c r="B48" s="254">
        <v>7000</v>
      </c>
      <c r="C48" s="254">
        <v>2304.11</v>
      </c>
      <c r="D48" s="254">
        <v>296.52</v>
      </c>
      <c r="E48" s="254">
        <v>10.8</v>
      </c>
      <c r="F48" s="254">
        <v>4388.57</v>
      </c>
    </row>
    <row r="49" spans="1:6">
      <c r="A49" s="253" t="s">
        <v>48</v>
      </c>
      <c r="B49" s="254">
        <v>7000</v>
      </c>
      <c r="C49" s="254">
        <v>0</v>
      </c>
      <c r="D49" s="254">
        <v>0</v>
      </c>
      <c r="E49" s="254">
        <v>0</v>
      </c>
      <c r="F49" s="254">
        <v>7000</v>
      </c>
    </row>
    <row r="50" spans="1:6">
      <c r="A50" s="253" t="s">
        <v>49</v>
      </c>
      <c r="B50" s="254">
        <v>7000</v>
      </c>
      <c r="C50" s="254">
        <v>1947.05</v>
      </c>
      <c r="D50" s="254">
        <v>3572</v>
      </c>
      <c r="E50" s="254">
        <v>1171.9100000000001</v>
      </c>
      <c r="F50" s="254">
        <v>309.04000000000002</v>
      </c>
    </row>
    <row r="51" spans="1:6">
      <c r="A51" s="253" t="s">
        <v>50</v>
      </c>
      <c r="B51" s="254">
        <v>7000</v>
      </c>
      <c r="C51" s="254">
        <v>0</v>
      </c>
      <c r="D51" s="254">
        <v>0</v>
      </c>
      <c r="E51" s="254">
        <v>0</v>
      </c>
      <c r="F51" s="254">
        <v>7000</v>
      </c>
    </row>
    <row r="52" spans="1:6">
      <c r="A52" s="253" t="s">
        <v>51</v>
      </c>
      <c r="B52" s="254">
        <v>7000</v>
      </c>
      <c r="C52" s="254">
        <v>3659.4</v>
      </c>
      <c r="D52" s="254">
        <v>893.64</v>
      </c>
      <c r="E52" s="254">
        <v>945.8</v>
      </c>
      <c r="F52" s="254">
        <v>1501.16</v>
      </c>
    </row>
    <row r="53" spans="1:6">
      <c r="A53" s="253" t="s">
        <v>12</v>
      </c>
      <c r="B53" s="254">
        <v>7607</v>
      </c>
      <c r="C53" s="254">
        <v>0</v>
      </c>
      <c r="D53" s="254">
        <v>0</v>
      </c>
      <c r="E53" s="254">
        <v>214.38</v>
      </c>
      <c r="F53" s="254">
        <v>7392.62</v>
      </c>
    </row>
    <row r="54" spans="1:6">
      <c r="A54" s="253" t="s">
        <v>52</v>
      </c>
      <c r="B54" s="254">
        <v>7000</v>
      </c>
      <c r="C54" s="254">
        <v>139.41</v>
      </c>
      <c r="D54" s="254">
        <v>48.61</v>
      </c>
      <c r="E54" s="254">
        <v>0</v>
      </c>
      <c r="F54" s="254">
        <v>6811.98</v>
      </c>
    </row>
    <row r="55" spans="1:6">
      <c r="A55" s="253" t="s">
        <v>53</v>
      </c>
      <c r="B55" s="254">
        <v>7000</v>
      </c>
      <c r="C55" s="254">
        <v>50.66</v>
      </c>
      <c r="D55" s="254">
        <v>0</v>
      </c>
      <c r="E55" s="254">
        <v>600.96</v>
      </c>
      <c r="F55" s="254">
        <v>6348.38</v>
      </c>
    </row>
    <row r="56" spans="1:6">
      <c r="A56" s="253" t="s">
        <v>54</v>
      </c>
      <c r="B56" s="254">
        <v>7000</v>
      </c>
      <c r="C56" s="254">
        <v>3253.48</v>
      </c>
      <c r="D56" s="254">
        <v>1127.5</v>
      </c>
      <c r="E56" s="254">
        <v>619.58000000000004</v>
      </c>
      <c r="F56" s="254">
        <v>1999.44</v>
      </c>
    </row>
    <row r="57" spans="1:6">
      <c r="A57" s="64" t="s">
        <v>55</v>
      </c>
      <c r="B57" s="254">
        <v>133737</v>
      </c>
      <c r="C57" s="254">
        <v>15522.219999999998</v>
      </c>
      <c r="D57" s="254">
        <v>9229.75</v>
      </c>
      <c r="E57" s="254">
        <v>7493.55</v>
      </c>
      <c r="F57" s="254">
        <v>101491.48</v>
      </c>
    </row>
    <row r="58" spans="1:6">
      <c r="A58" s="64" t="s">
        <v>56</v>
      </c>
    </row>
    <row r="59" spans="1:6">
      <c r="A59" s="253" t="s">
        <v>12</v>
      </c>
      <c r="B59" s="254">
        <v>46511</v>
      </c>
      <c r="C59" s="254">
        <v>0</v>
      </c>
      <c r="D59" s="254">
        <v>0</v>
      </c>
      <c r="E59" s="254">
        <v>46511</v>
      </c>
      <c r="F59" s="254">
        <v>0</v>
      </c>
    </row>
    <row r="60" spans="1:6">
      <c r="A60" s="64" t="s">
        <v>57</v>
      </c>
      <c r="B60" s="254">
        <v>46511</v>
      </c>
      <c r="C60" s="254">
        <v>0</v>
      </c>
      <c r="D60" s="254">
        <v>0</v>
      </c>
      <c r="E60" s="254">
        <v>46511</v>
      </c>
      <c r="F60" s="254">
        <v>0</v>
      </c>
    </row>
    <row r="61" spans="1:6">
      <c r="A61" s="64" t="s">
        <v>58</v>
      </c>
    </row>
    <row r="62" spans="1:6">
      <c r="A62" s="253" t="s">
        <v>12</v>
      </c>
      <c r="B62" s="254">
        <v>6896</v>
      </c>
      <c r="C62" s="254">
        <v>0</v>
      </c>
      <c r="D62" s="254">
        <v>0</v>
      </c>
      <c r="E62" s="254">
        <v>0</v>
      </c>
      <c r="F62" s="254">
        <v>6896</v>
      </c>
    </row>
    <row r="63" spans="1:6">
      <c r="A63" s="64" t="s">
        <v>59</v>
      </c>
      <c r="B63" s="254">
        <v>6896</v>
      </c>
      <c r="C63" s="254">
        <v>0</v>
      </c>
      <c r="D63" s="254">
        <v>0</v>
      </c>
      <c r="E63" s="254">
        <v>0</v>
      </c>
      <c r="F63" s="254">
        <v>6896</v>
      </c>
    </row>
    <row r="64" spans="1:6">
      <c r="A64" s="64" t="s">
        <v>60</v>
      </c>
    </row>
    <row r="65" spans="1:6">
      <c r="A65" s="253" t="s">
        <v>12</v>
      </c>
      <c r="B65" s="254">
        <v>28002</v>
      </c>
      <c r="C65" s="254">
        <v>2864</v>
      </c>
      <c r="D65" s="254">
        <v>0</v>
      </c>
      <c r="E65" s="254">
        <v>0</v>
      </c>
      <c r="F65" s="254">
        <v>25138</v>
      </c>
    </row>
    <row r="66" spans="1:6">
      <c r="A66" s="64" t="s">
        <v>61</v>
      </c>
      <c r="B66" s="254">
        <v>28002</v>
      </c>
      <c r="C66" s="254">
        <v>2864</v>
      </c>
      <c r="D66" s="254">
        <v>0</v>
      </c>
      <c r="E66" s="254">
        <v>0</v>
      </c>
      <c r="F66" s="254">
        <v>25138</v>
      </c>
    </row>
    <row r="67" spans="1:6">
      <c r="A67" s="64" t="s">
        <v>62</v>
      </c>
    </row>
    <row r="68" spans="1:6">
      <c r="A68" s="253" t="s">
        <v>30</v>
      </c>
      <c r="B68" s="254">
        <v>23180</v>
      </c>
      <c r="C68" s="254">
        <v>0</v>
      </c>
      <c r="D68" s="254">
        <v>0</v>
      </c>
      <c r="E68" s="254">
        <v>23180</v>
      </c>
      <c r="F68" s="254">
        <v>0</v>
      </c>
    </row>
    <row r="69" spans="1:6">
      <c r="A69" s="64" t="s">
        <v>63</v>
      </c>
      <c r="B69" s="254">
        <v>23180</v>
      </c>
      <c r="C69" s="254">
        <v>0</v>
      </c>
      <c r="D69" s="254">
        <v>0</v>
      </c>
      <c r="E69" s="254">
        <v>23180</v>
      </c>
      <c r="F69" s="254">
        <v>0</v>
      </c>
    </row>
    <row r="70" spans="1:6">
      <c r="A70" s="64" t="s">
        <v>64</v>
      </c>
      <c r="B70" s="254">
        <v>1395873.05</v>
      </c>
      <c r="C70" s="254">
        <v>72424.990000000005</v>
      </c>
      <c r="D70" s="254">
        <v>124309.31000000001</v>
      </c>
      <c r="E70" s="254">
        <v>672165.66000000015</v>
      </c>
      <c r="F70" s="254">
        <v>526973.09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FA24E-79D3-44B1-8281-EC275BF564EF}">
  <sheetPr>
    <tabColor theme="2" tint="-0.499984740745262"/>
  </sheetPr>
  <dimension ref="A1:V30"/>
  <sheetViews>
    <sheetView topLeftCell="A4" workbookViewId="0">
      <selection activeCell="O26" sqref="O26"/>
    </sheetView>
  </sheetViews>
  <sheetFormatPr defaultColWidth="9.140625" defaultRowHeight="15.95" customHeight="1"/>
  <cols>
    <col min="1" max="1" width="41.85546875" style="62" bestFit="1" customWidth="1"/>
    <col min="2" max="2" width="7.85546875" style="62" hidden="1" customWidth="1"/>
    <col min="3" max="3" width="1.7109375" style="62" customWidth="1"/>
    <col min="4" max="4" width="11.28515625" style="62" customWidth="1"/>
    <col min="5" max="5" width="1.7109375" style="62" customWidth="1"/>
    <col min="6" max="6" width="11.5703125" style="62" customWidth="1"/>
    <col min="7" max="7" width="1.7109375" style="62" customWidth="1"/>
    <col min="8" max="8" width="11.85546875" style="62" customWidth="1"/>
    <col min="9" max="9" width="1.7109375" style="62" customWidth="1"/>
    <col min="10" max="11" width="14.28515625" style="62" customWidth="1"/>
    <col min="12" max="12" width="1.7109375" style="62" customWidth="1"/>
    <col min="13" max="13" width="10.140625" style="62" customWidth="1"/>
    <col min="14" max="14" width="9.140625" style="62"/>
    <col min="15" max="15" width="12.85546875" style="62" customWidth="1"/>
    <col min="16" max="16" width="12.42578125" style="62" customWidth="1"/>
    <col min="17" max="16384" width="9.140625" style="62"/>
  </cols>
  <sheetData>
    <row r="1" spans="1:22" ht="15.95" customHeight="1">
      <c r="A1" s="258" t="s">
        <v>65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</row>
    <row r="2" spans="1:22" ht="15.95" customHeight="1">
      <c r="A2" s="258" t="s">
        <v>209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22" ht="15.95" customHeight="1">
      <c r="A3" s="258" t="s">
        <v>189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22" ht="15.95" customHeight="1">
      <c r="A4" s="258" t="str">
        <f>'Budget Committee'!A4:L4</f>
        <v>As of March 31, 2025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22" ht="15.95" customHeight="1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22" ht="15.95" customHeight="1" thickBot="1">
      <c r="A6" s="159"/>
      <c r="B6" s="160"/>
      <c r="C6" s="160"/>
      <c r="D6" s="161" t="s">
        <v>72</v>
      </c>
      <c r="E6" s="162"/>
      <c r="F6" s="161" t="s">
        <v>73</v>
      </c>
      <c r="G6" s="162"/>
      <c r="H6" s="161" t="s">
        <v>74</v>
      </c>
      <c r="I6" s="162"/>
      <c r="J6" s="37" t="s">
        <v>148</v>
      </c>
      <c r="K6" s="37" t="s">
        <v>194</v>
      </c>
      <c r="L6" s="38"/>
      <c r="M6" s="161" t="s">
        <v>150</v>
      </c>
      <c r="N6" s="5"/>
    </row>
    <row r="7" spans="1:22" ht="15.95" customHeight="1">
      <c r="A7" s="5" t="s">
        <v>90</v>
      </c>
      <c r="B7" s="5"/>
      <c r="C7" s="5"/>
      <c r="D7" s="163">
        <f>Referendums!E92</f>
        <v>28104</v>
      </c>
      <c r="E7" s="164"/>
      <c r="F7" s="163">
        <v>0</v>
      </c>
      <c r="G7" s="164"/>
      <c r="H7" s="165">
        <f>+D7+F7</f>
        <v>28104</v>
      </c>
      <c r="I7" s="164"/>
      <c r="J7" s="177"/>
      <c r="K7" s="178"/>
      <c r="L7" s="166"/>
      <c r="M7" s="165">
        <f>H7-J7-K7</f>
        <v>28104</v>
      </c>
    </row>
    <row r="8" spans="1:22" ht="15.95" customHeight="1">
      <c r="A8" s="5" t="s">
        <v>93</v>
      </c>
      <c r="B8" s="5"/>
      <c r="C8" s="5"/>
      <c r="D8" s="163">
        <f>Referendums!E96</f>
        <v>25122</v>
      </c>
      <c r="E8" s="164"/>
      <c r="F8" s="163">
        <v>0</v>
      </c>
      <c r="G8" s="164"/>
      <c r="H8" s="165">
        <f t="shared" ref="H8:H9" si="0">+D8+F8</f>
        <v>25122</v>
      </c>
      <c r="I8" s="164"/>
      <c r="J8" s="177"/>
      <c r="K8" s="178"/>
      <c r="L8" s="166"/>
      <c r="M8" s="165">
        <f t="shared" ref="M8:M9" si="1">H8-J8-K8</f>
        <v>25122</v>
      </c>
      <c r="P8" s="80"/>
    </row>
    <row r="9" spans="1:22" ht="15.95" customHeight="1">
      <c r="A9" s="5" t="s">
        <v>210</v>
      </c>
      <c r="B9" s="5"/>
      <c r="C9" s="5"/>
      <c r="D9" s="163">
        <v>0</v>
      </c>
      <c r="E9" s="164"/>
      <c r="F9" s="163">
        <f>'Allocation '!S19</f>
        <v>225080.21</v>
      </c>
      <c r="G9" s="164"/>
      <c r="H9" s="165">
        <f t="shared" si="0"/>
        <v>225080.21</v>
      </c>
      <c r="I9" s="164"/>
      <c r="J9" s="177"/>
      <c r="K9" s="178"/>
      <c r="L9" s="166"/>
      <c r="M9" s="165">
        <f t="shared" si="1"/>
        <v>225080.21</v>
      </c>
    </row>
    <row r="10" spans="1:22" ht="15.95" customHeight="1">
      <c r="A10" s="36" t="s">
        <v>97</v>
      </c>
      <c r="B10" s="36"/>
      <c r="C10" s="5"/>
      <c r="D10" s="167">
        <f>SUM(D7:D9)</f>
        <v>53226</v>
      </c>
      <c r="E10" s="164"/>
      <c r="F10" s="167">
        <f>SUM(F7:F9)</f>
        <v>225080.21</v>
      </c>
      <c r="G10" s="164"/>
      <c r="H10" s="167">
        <f>SUM(H7:H9)</f>
        <v>278306.20999999996</v>
      </c>
      <c r="I10" s="164"/>
      <c r="J10" s="177"/>
      <c r="K10" s="177"/>
      <c r="L10" s="166"/>
      <c r="M10" s="167">
        <f>SUM(M7:M9)</f>
        <v>278306.20999999996</v>
      </c>
    </row>
    <row r="11" spans="1:22" ht="15.95" customHeight="1">
      <c r="A11" s="36"/>
      <c r="B11" s="36"/>
      <c r="C11" s="5"/>
      <c r="D11" s="164"/>
      <c r="E11" s="164"/>
      <c r="F11" s="164"/>
      <c r="G11" s="164"/>
      <c r="H11" s="166"/>
      <c r="I11" s="164"/>
      <c r="J11" s="164"/>
      <c r="K11" s="166"/>
      <c r="L11" s="166"/>
      <c r="M11" s="166"/>
      <c r="N11" s="5"/>
      <c r="V11" s="165"/>
    </row>
    <row r="12" spans="1:22" ht="18" customHeight="1">
      <c r="A12" s="5" t="s">
        <v>211</v>
      </c>
      <c r="B12" s="5"/>
      <c r="C12" s="5"/>
      <c r="D12" s="163">
        <v>0</v>
      </c>
      <c r="E12" s="164"/>
      <c r="F12" s="163">
        <v>0</v>
      </c>
      <c r="G12" s="164"/>
      <c r="H12" s="165">
        <f t="shared" ref="H12:H15" si="2">D12+F12</f>
        <v>0</v>
      </c>
      <c r="I12" s="164"/>
      <c r="J12" s="164">
        <v>0</v>
      </c>
      <c r="K12" s="165">
        <v>0</v>
      </c>
      <c r="L12" s="166"/>
      <c r="M12" s="165">
        <f>H12-J12-K12</f>
        <v>0</v>
      </c>
      <c r="N12" s="175"/>
      <c r="V12" s="165"/>
    </row>
    <row r="13" spans="1:22" ht="18" customHeight="1">
      <c r="A13" s="5" t="s">
        <v>23</v>
      </c>
      <c r="B13" s="221" t="s">
        <v>212</v>
      </c>
      <c r="C13" s="5"/>
      <c r="D13" s="163">
        <v>2800</v>
      </c>
      <c r="E13" s="164"/>
      <c r="F13" s="163">
        <v>0</v>
      </c>
      <c r="G13" s="164"/>
      <c r="H13" s="165">
        <f t="shared" si="2"/>
        <v>2800</v>
      </c>
      <c r="I13" s="164"/>
      <c r="J13" s="164">
        <v>0</v>
      </c>
      <c r="K13" s="165">
        <f>GETPIVOTDATA("Sum of Expenditures",PVT!$A$3,"Dept Descr","Student Affairs-Life/Devel","Program Descr","African Student Association Cl")</f>
        <v>600</v>
      </c>
      <c r="L13" s="166"/>
      <c r="M13" s="165">
        <f t="shared" ref="M13:M15" si="3">H13-J13-K13</f>
        <v>2200</v>
      </c>
      <c r="N13" s="175"/>
      <c r="P13" s="248"/>
      <c r="V13" s="165"/>
    </row>
    <row r="14" spans="1:22" ht="18" customHeight="1">
      <c r="A14" s="5" t="s">
        <v>24</v>
      </c>
      <c r="B14" s="221" t="s">
        <v>213</v>
      </c>
      <c r="C14" s="5"/>
      <c r="D14" s="163">
        <v>3300</v>
      </c>
      <c r="E14" s="164"/>
      <c r="F14" s="163">
        <v>0</v>
      </c>
      <c r="G14" s="164"/>
      <c r="H14" s="165">
        <f t="shared" si="2"/>
        <v>3300</v>
      </c>
      <c r="I14" s="164"/>
      <c r="J14" s="164">
        <f>GETPIVOTDATA("Sum of Encumbrances",PVT!$A$3,"Dept Descr","Student Affairs-Life/Devel","Program Descr","Balck History Heritage Society")</f>
        <v>2855</v>
      </c>
      <c r="K14" s="165">
        <v>0</v>
      </c>
      <c r="L14" s="166"/>
      <c r="M14" s="165">
        <f t="shared" si="3"/>
        <v>445</v>
      </c>
      <c r="N14" s="5"/>
      <c r="V14" s="165"/>
    </row>
    <row r="15" spans="1:22" ht="18" customHeight="1">
      <c r="A15" s="5" t="s">
        <v>26</v>
      </c>
      <c r="B15" s="221" t="s">
        <v>214</v>
      </c>
      <c r="C15" s="5"/>
      <c r="D15" s="163">
        <v>3300</v>
      </c>
      <c r="E15" s="164"/>
      <c r="F15" s="163">
        <v>0</v>
      </c>
      <c r="G15" s="164"/>
      <c r="H15" s="165">
        <f t="shared" si="2"/>
        <v>3300</v>
      </c>
      <c r="I15" s="164"/>
      <c r="J15" s="164">
        <v>0</v>
      </c>
      <c r="K15" s="165">
        <v>0</v>
      </c>
      <c r="L15" s="166"/>
      <c r="M15" s="165">
        <f t="shared" si="3"/>
        <v>3300</v>
      </c>
      <c r="N15" s="5"/>
      <c r="O15" s="80"/>
      <c r="V15" s="165"/>
    </row>
    <row r="16" spans="1:22" ht="18" customHeight="1">
      <c r="A16" s="5" t="s">
        <v>29</v>
      </c>
      <c r="B16" s="5"/>
      <c r="C16" s="5"/>
      <c r="D16" s="163">
        <v>3300</v>
      </c>
      <c r="E16" s="164"/>
      <c r="F16" s="163">
        <v>0</v>
      </c>
      <c r="G16" s="164"/>
      <c r="H16" s="165">
        <f t="shared" ref="H16:H17" si="4">D16+F16</f>
        <v>3300</v>
      </c>
      <c r="I16" s="164"/>
      <c r="J16" s="164">
        <v>0</v>
      </c>
      <c r="K16" s="165">
        <f>GETPIVOTDATA("Sum of Expenditures",PVT!$A$3,"Dept Descr","Student Affairs-Life/Devel","Program Descr","Hispanic Cultural")</f>
        <v>3000</v>
      </c>
      <c r="L16" s="166"/>
      <c r="M16" s="165">
        <f t="shared" ref="M16:M17" si="5">H16-J16-K16</f>
        <v>300</v>
      </c>
      <c r="N16" s="5"/>
      <c r="O16" s="80"/>
      <c r="V16" s="165"/>
    </row>
    <row r="17" spans="1:22" ht="18" customHeight="1">
      <c r="A17" s="5" t="s">
        <v>30</v>
      </c>
      <c r="B17" s="5"/>
      <c r="C17" s="5"/>
      <c r="D17" s="163">
        <v>27145</v>
      </c>
      <c r="E17" s="164"/>
      <c r="F17" s="163">
        <v>0</v>
      </c>
      <c r="G17" s="164"/>
      <c r="H17" s="165">
        <f t="shared" si="4"/>
        <v>27145</v>
      </c>
      <c r="I17" s="164"/>
      <c r="J17" s="164">
        <v>0</v>
      </c>
      <c r="K17" s="165">
        <v>0</v>
      </c>
      <c r="L17" s="166"/>
      <c r="M17" s="165">
        <f t="shared" si="5"/>
        <v>27145</v>
      </c>
      <c r="N17" s="5"/>
      <c r="O17" s="80"/>
      <c r="V17" s="165"/>
    </row>
    <row r="18" spans="1:22" ht="18" customHeight="1">
      <c r="A18" s="5" t="s">
        <v>12</v>
      </c>
      <c r="B18" s="5"/>
      <c r="C18" s="5"/>
      <c r="D18" s="163">
        <v>57300</v>
      </c>
      <c r="E18" s="164"/>
      <c r="F18" s="163">
        <v>0</v>
      </c>
      <c r="G18" s="164"/>
      <c r="H18" s="165">
        <f t="shared" ref="H18:H19" si="6">D18+F18</f>
        <v>57300</v>
      </c>
      <c r="I18" s="164"/>
      <c r="J18" s="164">
        <v>0</v>
      </c>
      <c r="K18" s="165">
        <v>24411.06</v>
      </c>
      <c r="L18" s="166"/>
      <c r="M18" s="165">
        <f t="shared" ref="M18:M19" si="7">H18-J18-K18</f>
        <v>32888.94</v>
      </c>
      <c r="N18" s="5"/>
      <c r="O18" s="80"/>
      <c r="V18" s="165"/>
    </row>
    <row r="19" spans="1:22" ht="17.25" customHeight="1">
      <c r="A19" s="5" t="s">
        <v>33</v>
      </c>
      <c r="B19" s="5"/>
      <c r="C19" s="5"/>
      <c r="D19" s="163">
        <v>8900</v>
      </c>
      <c r="E19" s="164"/>
      <c r="F19" s="163">
        <v>0</v>
      </c>
      <c r="G19" s="164"/>
      <c r="H19" s="165">
        <f t="shared" si="6"/>
        <v>8900</v>
      </c>
      <c r="I19" s="164"/>
      <c r="J19" s="164">
        <v>0</v>
      </c>
      <c r="K19" s="165">
        <v>8896.51</v>
      </c>
      <c r="L19" s="166"/>
      <c r="M19" s="165">
        <f t="shared" si="7"/>
        <v>3.4899999999997817</v>
      </c>
      <c r="N19" s="5"/>
      <c r="O19" s="80"/>
      <c r="P19" s="171"/>
      <c r="V19" s="165"/>
    </row>
    <row r="20" spans="1:22" ht="17.25" customHeight="1">
      <c r="A20" s="36" t="s">
        <v>153</v>
      </c>
      <c r="B20" s="36"/>
      <c r="C20" s="5"/>
      <c r="D20" s="167">
        <f>SUM(D12:D19)</f>
        <v>106045</v>
      </c>
      <c r="E20" s="164"/>
      <c r="F20" s="167">
        <f>SUM(F12:F19)</f>
        <v>0</v>
      </c>
      <c r="G20" s="164"/>
      <c r="H20" s="167">
        <f>SUM(H12:H19)</f>
        <v>106045</v>
      </c>
      <c r="I20" s="164"/>
      <c r="J20" s="168">
        <f>SUM(J12:J19)</f>
        <v>2855</v>
      </c>
      <c r="K20" s="168">
        <f>SUM(K12:K19)</f>
        <v>36907.57</v>
      </c>
      <c r="L20" s="164"/>
      <c r="M20" s="167">
        <f>SUM(M12:M19)</f>
        <v>66282.430000000008</v>
      </c>
      <c r="N20" s="5"/>
      <c r="O20" s="171"/>
    </row>
    <row r="21" spans="1:22" ht="17.25" customHeight="1">
      <c r="A21" s="36" t="s">
        <v>154</v>
      </c>
      <c r="B21" s="36"/>
      <c r="C21" s="5"/>
      <c r="D21" s="167">
        <f>+D10-D20</f>
        <v>-52819</v>
      </c>
      <c r="E21" s="164"/>
      <c r="F21" s="164"/>
      <c r="G21" s="164"/>
      <c r="H21" s="167">
        <f>+H10-H20</f>
        <v>172261.20999999996</v>
      </c>
      <c r="I21" s="164"/>
      <c r="J21" s="164"/>
      <c r="K21" s="164"/>
      <c r="L21" s="164"/>
      <c r="M21" s="164"/>
      <c r="N21" s="5"/>
    </row>
    <row r="22" spans="1:22" ht="15.95" customHeight="1">
      <c r="A22" s="5"/>
      <c r="B22" s="5"/>
      <c r="C22" s="5"/>
      <c r="D22" s="5"/>
      <c r="E22" s="5"/>
      <c r="F22" s="5"/>
      <c r="G22" s="5"/>
      <c r="H22" s="5"/>
      <c r="I22" s="5"/>
      <c r="J22" s="175"/>
      <c r="K22" s="175"/>
      <c r="L22" s="5"/>
      <c r="M22" s="5"/>
      <c r="N22" s="5"/>
    </row>
    <row r="23" spans="1:22" ht="15.95" customHeight="1">
      <c r="K23" s="80"/>
      <c r="N23" s="80"/>
    </row>
    <row r="24" spans="1:22" ht="15.95" customHeight="1">
      <c r="K24" s="80"/>
      <c r="O24" s="249"/>
    </row>
    <row r="25" spans="1:22" ht="15.95" customHeight="1">
      <c r="K25" s="80"/>
      <c r="O25" s="249"/>
    </row>
    <row r="26" spans="1:22" ht="15.95" customHeight="1">
      <c r="O26" s="249"/>
    </row>
    <row r="27" spans="1:22" ht="15.95" customHeight="1">
      <c r="O27" s="249"/>
    </row>
    <row r="28" spans="1:22" ht="15.95" customHeight="1">
      <c r="O28" s="249"/>
    </row>
    <row r="29" spans="1:22" ht="15.95" customHeight="1">
      <c r="O29" s="249"/>
    </row>
    <row r="30" spans="1:22" ht="15.95" customHeight="1">
      <c r="O30" s="249"/>
    </row>
  </sheetData>
  <mergeCells count="4">
    <mergeCell ref="A1:M1"/>
    <mergeCell ref="A2:M2"/>
    <mergeCell ref="A3:M3"/>
    <mergeCell ref="A4:M4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639CB-C92C-4A06-B1AC-2678FFC7717E}">
  <sheetPr>
    <tabColor theme="2" tint="-0.499984740745262"/>
  </sheetPr>
  <dimension ref="A1:P48"/>
  <sheetViews>
    <sheetView topLeftCell="A10" workbookViewId="0">
      <selection activeCell="A10" sqref="A1:XFD1048576"/>
    </sheetView>
  </sheetViews>
  <sheetFormatPr defaultColWidth="9.140625" defaultRowHeight="15"/>
  <cols>
    <col min="1" max="1" width="9" style="66" bestFit="1" customWidth="1"/>
    <col min="2" max="2" width="35" style="62" customWidth="1"/>
    <col min="3" max="3" width="1.7109375" style="62" customWidth="1"/>
    <col min="4" max="4" width="10.5703125" style="62" bestFit="1" customWidth="1"/>
    <col min="5" max="5" width="1.7109375" style="62" customWidth="1"/>
    <col min="6" max="6" width="11.5703125" style="62" customWidth="1"/>
    <col min="7" max="7" width="1.7109375" style="62" customWidth="1"/>
    <col min="8" max="8" width="11.7109375" style="62" bestFit="1" customWidth="1"/>
    <col min="9" max="9" width="1.7109375" style="62" customWidth="1"/>
    <col min="10" max="10" width="16.140625" style="62" customWidth="1"/>
    <col min="11" max="11" width="14" style="62" customWidth="1"/>
    <col min="12" max="12" width="1.7109375" style="62" customWidth="1"/>
    <col min="13" max="13" width="10.140625" style="62" customWidth="1"/>
    <col min="14" max="16384" width="9.140625" style="62"/>
  </cols>
  <sheetData>
    <row r="1" spans="1:16">
      <c r="A1" s="258" t="s">
        <v>65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</row>
    <row r="2" spans="1:16">
      <c r="A2" s="258" t="s">
        <v>215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6">
      <c r="A3" s="258" t="s">
        <v>189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16" ht="17.25" customHeight="1">
      <c r="A4" s="258" t="str">
        <f>'Allocation '!A3:U3</f>
        <v>As of March 31, 2025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6"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6" ht="27" thickBot="1">
      <c r="A6" s="66" t="s">
        <v>207</v>
      </c>
      <c r="B6" s="159" t="s">
        <v>68</v>
      </c>
      <c r="C6" s="160"/>
      <c r="D6" s="161" t="s">
        <v>72</v>
      </c>
      <c r="E6" s="162"/>
      <c r="F6" s="161" t="s">
        <v>73</v>
      </c>
      <c r="G6" s="162"/>
      <c r="H6" s="161" t="s">
        <v>74</v>
      </c>
      <c r="I6" s="162"/>
      <c r="J6" s="37" t="s">
        <v>148</v>
      </c>
      <c r="K6" s="37" t="s">
        <v>194</v>
      </c>
      <c r="L6" s="38"/>
      <c r="M6" s="161" t="s">
        <v>150</v>
      </c>
      <c r="N6" s="5"/>
    </row>
    <row r="7" spans="1:16">
      <c r="A7" s="176"/>
      <c r="B7" s="5" t="s">
        <v>90</v>
      </c>
      <c r="C7" s="5"/>
      <c r="D7" s="163">
        <f>Referendums!E104</f>
        <v>15175.5336397827</v>
      </c>
      <c r="E7" s="164"/>
      <c r="F7" s="163">
        <f>'Allocation '!T19</f>
        <v>10000</v>
      </c>
      <c r="G7" s="164"/>
      <c r="H7" s="165">
        <f>D7+F7</f>
        <v>25175.533639782698</v>
      </c>
      <c r="I7" s="164"/>
      <c r="J7" s="177"/>
      <c r="K7" s="178"/>
      <c r="L7" s="166"/>
      <c r="M7" s="165">
        <f>H7-J7-K7</f>
        <v>25175.533639782698</v>
      </c>
      <c r="N7" s="5"/>
    </row>
    <row r="8" spans="1:16">
      <c r="B8" s="5" t="s">
        <v>93</v>
      </c>
      <c r="C8" s="5"/>
      <c r="D8" s="61">
        <f>+Referendums!E108</f>
        <v>14187.077105014192</v>
      </c>
      <c r="E8" s="164"/>
      <c r="F8" s="163">
        <v>0</v>
      </c>
      <c r="G8" s="164"/>
      <c r="H8" s="165">
        <f>D8-F8</f>
        <v>14187.077105014192</v>
      </c>
      <c r="I8" s="164"/>
      <c r="J8" s="177"/>
      <c r="K8" s="178"/>
      <c r="L8" s="166"/>
      <c r="M8" s="165">
        <f>H8-J8-K8</f>
        <v>14187.077105014192</v>
      </c>
      <c r="N8" s="175"/>
      <c r="P8" s="80"/>
    </row>
    <row r="9" spans="1:16" hidden="1">
      <c r="B9" s="5" t="s">
        <v>216</v>
      </c>
      <c r="C9" s="5"/>
      <c r="D9" s="163"/>
      <c r="E9" s="164"/>
      <c r="F9" s="163">
        <v>0</v>
      </c>
      <c r="G9" s="164"/>
      <c r="H9" s="165">
        <f>D9+F9</f>
        <v>0</v>
      </c>
      <c r="I9" s="164"/>
      <c r="J9" s="177"/>
      <c r="K9" s="178"/>
      <c r="L9" s="166"/>
      <c r="M9" s="165">
        <f>H9-K9</f>
        <v>0</v>
      </c>
      <c r="N9" s="175"/>
    </row>
    <row r="10" spans="1:16">
      <c r="B10" s="36" t="s">
        <v>97</v>
      </c>
      <c r="C10" s="5"/>
      <c r="D10" s="167">
        <f>SUM(D7:D8)</f>
        <v>29362.61074479689</v>
      </c>
      <c r="E10" s="164"/>
      <c r="F10" s="167">
        <f>SUM(F7:F9)</f>
        <v>10000</v>
      </c>
      <c r="G10" s="164"/>
      <c r="H10" s="167">
        <f>SUM(H7:H9)</f>
        <v>39362.61074479689</v>
      </c>
      <c r="I10" s="164"/>
      <c r="J10" s="177"/>
      <c r="K10" s="177"/>
      <c r="L10" s="166"/>
      <c r="M10" s="167">
        <f>SUM(M7:M9)</f>
        <v>39362.61074479689</v>
      </c>
      <c r="N10" s="5"/>
    </row>
    <row r="11" spans="1:16" hidden="1">
      <c r="B11" s="10" t="s">
        <v>158</v>
      </c>
      <c r="C11" s="5"/>
      <c r="D11" s="164">
        <v>0</v>
      </c>
      <c r="E11" s="164"/>
      <c r="F11" s="164">
        <v>0</v>
      </c>
      <c r="G11" s="164"/>
      <c r="H11" s="166">
        <f>+D11+F11</f>
        <v>0</v>
      </c>
      <c r="I11" s="164"/>
      <c r="J11" s="164"/>
      <c r="K11" s="166">
        <v>0</v>
      </c>
      <c r="L11" s="166"/>
      <c r="M11" s="166">
        <f>+H11-K11</f>
        <v>0</v>
      </c>
      <c r="N11" s="5"/>
    </row>
    <row r="12" spans="1:16" hidden="1">
      <c r="B12" s="10"/>
      <c r="C12" s="5"/>
      <c r="D12" s="164"/>
      <c r="E12" s="164"/>
      <c r="F12" s="164">
        <v>0</v>
      </c>
      <c r="G12" s="164"/>
      <c r="H12" s="166">
        <f>+D12+F12</f>
        <v>0</v>
      </c>
      <c r="I12" s="164"/>
      <c r="J12" s="164"/>
      <c r="K12" s="166">
        <v>0</v>
      </c>
      <c r="L12" s="166"/>
      <c r="M12" s="165">
        <f>H12-J12-K12</f>
        <v>0</v>
      </c>
      <c r="N12" s="5"/>
    </row>
    <row r="13" spans="1:16" hidden="1">
      <c r="B13" s="36" t="s">
        <v>159</v>
      </c>
      <c r="C13" s="5"/>
      <c r="D13" s="167">
        <f>+D10+D11+D12</f>
        <v>29362.61074479689</v>
      </c>
      <c r="E13" s="164"/>
      <c r="F13" s="167">
        <f>+F10+F11+F12</f>
        <v>10000</v>
      </c>
      <c r="G13" s="164"/>
      <c r="H13" s="167">
        <f>+H10+H11+H12</f>
        <v>39362.61074479689</v>
      </c>
      <c r="I13" s="164"/>
      <c r="J13" s="167">
        <f>+J10+J11+J12</f>
        <v>0</v>
      </c>
      <c r="K13" s="167">
        <f>+K10+K11+K12</f>
        <v>0</v>
      </c>
      <c r="L13" s="166"/>
      <c r="M13" s="167">
        <f>+M10+M11+M12</f>
        <v>39362.61074479689</v>
      </c>
      <c r="N13" s="5"/>
    </row>
    <row r="14" spans="1:16">
      <c r="B14" s="36"/>
      <c r="C14" s="5"/>
      <c r="D14" s="164"/>
      <c r="E14" s="164"/>
      <c r="F14" s="164"/>
      <c r="G14" s="164"/>
      <c r="H14" s="166"/>
      <c r="I14" s="164"/>
      <c r="J14" s="164"/>
      <c r="K14" s="166"/>
      <c r="L14" s="166"/>
      <c r="M14" s="166"/>
      <c r="N14" s="5"/>
    </row>
    <row r="15" spans="1:16" ht="15" customHeight="1">
      <c r="B15" s="179" t="s">
        <v>90</v>
      </c>
      <c r="C15" s="5"/>
      <c r="D15" s="164"/>
      <c r="E15" s="164"/>
      <c r="F15" s="164"/>
      <c r="G15" s="164"/>
      <c r="H15" s="166"/>
      <c r="I15" s="164"/>
      <c r="J15" s="164"/>
      <c r="K15" s="166"/>
      <c r="L15" s="166"/>
      <c r="M15" s="166"/>
      <c r="N15" s="5"/>
    </row>
    <row r="16" spans="1:16">
      <c r="A16" s="180"/>
      <c r="B16" s="5" t="s">
        <v>104</v>
      </c>
      <c r="C16" s="5"/>
      <c r="D16" s="163">
        <v>0</v>
      </c>
      <c r="E16" s="164"/>
      <c r="F16" s="163">
        <v>0</v>
      </c>
      <c r="G16" s="164"/>
      <c r="H16" s="165">
        <f>D16+F16</f>
        <v>0</v>
      </c>
      <c r="I16" s="164"/>
      <c r="J16" s="164">
        <v>0</v>
      </c>
      <c r="K16" s="165">
        <v>0</v>
      </c>
      <c r="L16" s="166"/>
      <c r="M16" s="165">
        <f t="shared" ref="M16" si="0">H16-K16</f>
        <v>0</v>
      </c>
      <c r="N16" s="5"/>
    </row>
    <row r="17" spans="1:14">
      <c r="A17" s="180"/>
      <c r="B17" s="5" t="s">
        <v>37</v>
      </c>
      <c r="C17" s="5"/>
      <c r="D17" s="163">
        <v>0</v>
      </c>
      <c r="E17" s="164"/>
      <c r="F17" s="163">
        <v>7000</v>
      </c>
      <c r="G17" s="164"/>
      <c r="H17" s="165">
        <f t="shared" ref="H17" si="1">+D17+F17</f>
        <v>7000</v>
      </c>
      <c r="I17" s="164"/>
      <c r="J17" s="164">
        <v>0</v>
      </c>
      <c r="K17" s="165">
        <v>0</v>
      </c>
      <c r="L17" s="166"/>
      <c r="M17" s="165">
        <f>H17-J17-K17</f>
        <v>7000</v>
      </c>
      <c r="N17" s="175"/>
    </row>
    <row r="18" spans="1:14">
      <c r="A18" s="180"/>
      <c r="B18" s="5" t="s">
        <v>38</v>
      </c>
      <c r="C18" s="5"/>
      <c r="D18" s="163">
        <v>0</v>
      </c>
      <c r="E18" s="164"/>
      <c r="F18" s="163">
        <v>7000</v>
      </c>
      <c r="G18" s="164"/>
      <c r="H18" s="165">
        <f t="shared" ref="H18" si="2">+D18+F18</f>
        <v>7000</v>
      </c>
      <c r="I18" s="164"/>
      <c r="J18" s="164">
        <v>0</v>
      </c>
      <c r="K18" s="165">
        <v>0</v>
      </c>
      <c r="L18" s="166"/>
      <c r="M18" s="165">
        <f>H18-J18-K18</f>
        <v>7000</v>
      </c>
      <c r="N18" s="175"/>
    </row>
    <row r="19" spans="1:14">
      <c r="A19" s="180"/>
      <c r="B19" s="5" t="s">
        <v>39</v>
      </c>
      <c r="C19" s="5"/>
      <c r="D19" s="163">
        <v>4000</v>
      </c>
      <c r="E19" s="164"/>
      <c r="F19" s="163">
        <v>3000</v>
      </c>
      <c r="G19" s="164"/>
      <c r="H19" s="165">
        <f t="shared" ref="H19:H35" si="3">+D19+F19</f>
        <v>7000</v>
      </c>
      <c r="I19" s="164"/>
      <c r="J19" s="164">
        <v>0</v>
      </c>
      <c r="K19" s="165">
        <v>0</v>
      </c>
      <c r="L19" s="166"/>
      <c r="M19" s="165">
        <f>H19-J19-K19</f>
        <v>7000</v>
      </c>
      <c r="N19" s="175"/>
    </row>
    <row r="20" spans="1:14">
      <c r="A20" s="180"/>
      <c r="B20" s="5" t="s">
        <v>41</v>
      </c>
      <c r="C20" s="5"/>
      <c r="D20" s="163">
        <v>4130</v>
      </c>
      <c r="E20" s="164"/>
      <c r="F20" s="163">
        <v>3000</v>
      </c>
      <c r="G20" s="164"/>
      <c r="H20" s="165">
        <f t="shared" si="3"/>
        <v>7130</v>
      </c>
      <c r="I20" s="164"/>
      <c r="J20" s="164">
        <f>GETPIVOTDATA("Sum of Encumbrances",PVT!$A$3,"Dept Descr","Student Center/Student Activ","Program Descr","Clinical Lab Club")</f>
        <v>1378</v>
      </c>
      <c r="K20" s="164">
        <f>GETPIVOTDATA("Sum of Expenditures",PVT!$A$3,"Dept Descr","Student Center/Student Activ","Program Descr","Clinical Lab Club")</f>
        <v>385.43</v>
      </c>
      <c r="L20" s="166"/>
      <c r="M20" s="165">
        <f>H20-J20-K20</f>
        <v>5366.57</v>
      </c>
      <c r="N20" s="175"/>
    </row>
    <row r="21" spans="1:14">
      <c r="A21" s="180"/>
      <c r="B21" s="181" t="s">
        <v>42</v>
      </c>
      <c r="C21" s="5"/>
      <c r="D21" s="163">
        <v>4000</v>
      </c>
      <c r="E21" s="164"/>
      <c r="F21" s="163">
        <v>3000</v>
      </c>
      <c r="G21" s="164"/>
      <c r="H21" s="165">
        <f t="shared" si="3"/>
        <v>7000</v>
      </c>
      <c r="I21" s="164"/>
      <c r="J21" s="164">
        <v>0</v>
      </c>
      <c r="K21" s="165">
        <v>0</v>
      </c>
      <c r="L21" s="166"/>
      <c r="M21" s="165">
        <f t="shared" ref="M21:M26" si="4">H21-J21-K21</f>
        <v>7000</v>
      </c>
      <c r="N21" s="5"/>
    </row>
    <row r="22" spans="1:14">
      <c r="A22" s="180"/>
      <c r="B22" s="5" t="s">
        <v>43</v>
      </c>
      <c r="C22" s="5"/>
      <c r="D22" s="163">
        <v>4000</v>
      </c>
      <c r="E22" s="164"/>
      <c r="F22" s="163">
        <v>3000</v>
      </c>
      <c r="G22" s="164"/>
      <c r="H22" s="165">
        <f t="shared" si="3"/>
        <v>7000</v>
      </c>
      <c r="I22" s="164"/>
      <c r="J22" s="164">
        <v>0</v>
      </c>
      <c r="K22" s="165">
        <v>0</v>
      </c>
      <c r="L22" s="166"/>
      <c r="M22" s="165">
        <f t="shared" si="4"/>
        <v>7000</v>
      </c>
      <c r="N22" s="5"/>
    </row>
    <row r="23" spans="1:14">
      <c r="A23" s="180"/>
      <c r="B23" s="62" t="s">
        <v>44</v>
      </c>
      <c r="C23" s="5"/>
      <c r="D23" s="163">
        <v>4000</v>
      </c>
      <c r="E23" s="164"/>
      <c r="F23" s="163">
        <v>3000</v>
      </c>
      <c r="G23" s="164"/>
      <c r="H23" s="165">
        <f t="shared" si="3"/>
        <v>7000</v>
      </c>
      <c r="I23" s="164"/>
      <c r="J23" s="164">
        <f>GETPIVOTDATA("Sum of Encumbrances",PVT!$A$3,"Dept Descr","Student Center/Student Activ","Program Descr","Disabled Students")</f>
        <v>1025.98</v>
      </c>
      <c r="K23" s="165">
        <f>GETPIVOTDATA("Sum of Expenditures",PVT!$A$3,"Dept Descr","Student Center/Student Activ","Program Descr","Disabled Students")</f>
        <v>3544.69</v>
      </c>
      <c r="L23" s="166"/>
      <c r="M23" s="165">
        <f t="shared" si="4"/>
        <v>2429.3300000000004</v>
      </c>
      <c r="N23" s="5"/>
    </row>
    <row r="24" spans="1:14">
      <c r="A24" s="180"/>
      <c r="B24" s="5" t="s">
        <v>217</v>
      </c>
      <c r="C24" s="5"/>
      <c r="D24" s="163">
        <v>4000</v>
      </c>
      <c r="E24" s="164"/>
      <c r="F24" s="163">
        <v>3000</v>
      </c>
      <c r="G24" s="164"/>
      <c r="H24" s="165">
        <f t="shared" si="3"/>
        <v>7000</v>
      </c>
      <c r="I24" s="164"/>
      <c r="J24" s="164">
        <v>0</v>
      </c>
      <c r="K24" s="165">
        <v>0</v>
      </c>
      <c r="L24" s="166"/>
      <c r="M24" s="165">
        <f t="shared" si="4"/>
        <v>7000</v>
      </c>
      <c r="N24" s="175"/>
    </row>
    <row r="25" spans="1:14" s="182" customFormat="1">
      <c r="A25" s="180"/>
      <c r="B25" s="5" t="s">
        <v>46</v>
      </c>
      <c r="C25" s="5"/>
      <c r="D25" s="163">
        <v>4000</v>
      </c>
      <c r="E25" s="164"/>
      <c r="F25" s="163">
        <v>3000</v>
      </c>
      <c r="G25" s="164"/>
      <c r="H25" s="165">
        <f t="shared" si="3"/>
        <v>7000</v>
      </c>
      <c r="I25" s="164"/>
      <c r="J25" s="164">
        <v>0</v>
      </c>
      <c r="K25" s="165">
        <v>0</v>
      </c>
      <c r="L25" s="166"/>
      <c r="M25" s="165">
        <f t="shared" si="4"/>
        <v>7000</v>
      </c>
      <c r="N25" s="5"/>
    </row>
    <row r="26" spans="1:14" s="182" customFormat="1">
      <c r="A26" s="180"/>
      <c r="B26" s="5" t="s">
        <v>47</v>
      </c>
      <c r="C26" s="5"/>
      <c r="D26" s="163">
        <v>4000</v>
      </c>
      <c r="E26" s="164"/>
      <c r="F26" s="163">
        <v>3000</v>
      </c>
      <c r="G26" s="164"/>
      <c r="H26" s="165">
        <f t="shared" si="3"/>
        <v>7000</v>
      </c>
      <c r="I26" s="164"/>
      <c r="J26" s="164">
        <f>GETPIVOTDATA("Sum of Encumbrances",PVT!$A$3,"Dept Descr","Student Center/Student Activ","Program Descr","Impact Club")</f>
        <v>296.52</v>
      </c>
      <c r="K26" s="165">
        <f>GETPIVOTDATA("Sum of Expenditures",PVT!$A$3,"Dept Descr","Student Center/Student Activ","Program Descr","Impact Club")</f>
        <v>10.8</v>
      </c>
      <c r="L26" s="166"/>
      <c r="M26" s="165">
        <f t="shared" si="4"/>
        <v>6692.6799999999994</v>
      </c>
      <c r="N26" s="5"/>
    </row>
    <row r="27" spans="1:14">
      <c r="A27" s="180"/>
      <c r="B27" s="5" t="s">
        <v>48</v>
      </c>
      <c r="C27" s="5"/>
      <c r="D27" s="163">
        <v>4000</v>
      </c>
      <c r="E27" s="164"/>
      <c r="F27" s="163">
        <v>3000</v>
      </c>
      <c r="G27" s="164"/>
      <c r="H27" s="165">
        <f>+D27+F27</f>
        <v>7000</v>
      </c>
      <c r="I27" s="164"/>
      <c r="J27" s="164">
        <v>0</v>
      </c>
      <c r="K27" s="165">
        <v>0</v>
      </c>
      <c r="L27" s="166"/>
      <c r="M27" s="165">
        <f>H27-J27-K27</f>
        <v>7000</v>
      </c>
      <c r="N27" s="5"/>
    </row>
    <row r="28" spans="1:14" s="182" customFormat="1">
      <c r="A28" s="180"/>
      <c r="B28" s="5" t="s">
        <v>49</v>
      </c>
      <c r="C28" s="5"/>
      <c r="D28" s="163">
        <v>4000</v>
      </c>
      <c r="E28" s="164"/>
      <c r="F28" s="163">
        <v>3000</v>
      </c>
      <c r="G28" s="164"/>
      <c r="H28" s="165">
        <f t="shared" ref="H28" si="5">+D28+F28</f>
        <v>7000</v>
      </c>
      <c r="I28" s="164"/>
      <c r="J28" s="164">
        <f>GETPIVOTDATA("Sum of Encumbrances",PVT!$A$3,"Dept Descr","Student Center/Student Activ","Program Descr","Muslim Student Association")</f>
        <v>3572</v>
      </c>
      <c r="K28" s="165">
        <f>GETPIVOTDATA("Sum of Expenditures",PVT!$A$3,"Dept Descr","Student Center/Student Activ","Program Descr","Muslim Student Association")</f>
        <v>1171.9100000000001</v>
      </c>
      <c r="L28" s="166"/>
      <c r="M28" s="165">
        <f t="shared" ref="M28:M35" si="6">H28-J28-K28</f>
        <v>2256.09</v>
      </c>
      <c r="N28" s="5"/>
    </row>
    <row r="29" spans="1:14" s="182" customFormat="1">
      <c r="A29" s="180"/>
      <c r="B29" s="5" t="s">
        <v>50</v>
      </c>
      <c r="C29" s="5"/>
      <c r="D29" s="163">
        <v>4000</v>
      </c>
      <c r="E29" s="164"/>
      <c r="F29" s="163">
        <v>3000</v>
      </c>
      <c r="G29" s="164"/>
      <c r="H29" s="165">
        <f t="shared" si="3"/>
        <v>7000</v>
      </c>
      <c r="I29" s="164"/>
      <c r="J29" s="164">
        <v>0</v>
      </c>
      <c r="K29" s="165">
        <v>0</v>
      </c>
      <c r="L29" s="166"/>
      <c r="M29" s="165">
        <f t="shared" si="6"/>
        <v>7000</v>
      </c>
      <c r="N29" s="5"/>
    </row>
    <row r="30" spans="1:14" s="182" customFormat="1">
      <c r="A30" s="180"/>
      <c r="B30" s="5" t="s">
        <v>51</v>
      </c>
      <c r="C30" s="5"/>
      <c r="D30" s="163">
        <v>4000</v>
      </c>
      <c r="E30" s="164"/>
      <c r="F30" s="163">
        <v>3000</v>
      </c>
      <c r="G30" s="164"/>
      <c r="H30" s="165">
        <f t="shared" si="3"/>
        <v>7000</v>
      </c>
      <c r="I30" s="164"/>
      <c r="J30" s="164">
        <f>GETPIVOTDATA("Sum of Encumbrances",PVT!$A$3,"Dept Descr","Student Center/Student Activ","Program Descr","Nursing Club")</f>
        <v>893.64</v>
      </c>
      <c r="K30" s="165">
        <f>GETPIVOTDATA("Sum of Expenditures",PVT!$A$3,"Dept Descr","Student Center/Student Activ","Program Descr","Nursing Club")</f>
        <v>945.8</v>
      </c>
      <c r="L30" s="166"/>
      <c r="M30" s="165">
        <f t="shared" si="6"/>
        <v>5160.5599999999995</v>
      </c>
      <c r="N30" s="5"/>
    </row>
    <row r="31" spans="1:14" s="182" customFormat="1">
      <c r="A31" s="180"/>
      <c r="B31" s="5" t="s">
        <v>12</v>
      </c>
      <c r="C31" s="5"/>
      <c r="D31" s="163">
        <v>7607</v>
      </c>
      <c r="E31" s="164"/>
      <c r="F31" s="163"/>
      <c r="G31" s="164"/>
      <c r="H31" s="165">
        <f t="shared" si="3"/>
        <v>7607</v>
      </c>
      <c r="I31" s="164"/>
      <c r="J31" s="164">
        <v>0</v>
      </c>
      <c r="K31" s="165">
        <f>GETPIVOTDATA("Sum of Expenditures",PVT!$A$3,"Dept Descr","Student Center/Student Activ","Program Descr","PC not applicable")</f>
        <v>214.38</v>
      </c>
      <c r="L31" s="166"/>
      <c r="M31" s="165">
        <f t="shared" si="6"/>
        <v>7392.62</v>
      </c>
      <c r="N31" s="5"/>
    </row>
    <row r="32" spans="1:14" s="182" customFormat="1">
      <c r="A32" s="180"/>
      <c r="B32" s="5" t="s">
        <v>45</v>
      </c>
      <c r="C32" s="5"/>
      <c r="D32" s="163">
        <v>0</v>
      </c>
      <c r="E32" s="164"/>
      <c r="F32" s="163">
        <v>7000</v>
      </c>
      <c r="G32" s="164"/>
      <c r="H32" s="165">
        <f t="shared" si="3"/>
        <v>7000</v>
      </c>
      <c r="I32" s="164"/>
      <c r="J32" s="164">
        <f>GETPIVOTDATA("Sum of Encumbrances",PVT!$A$3,"Dept Descr","Student Center/Student Activ","Program Descr","Future Teachers")</f>
        <v>887.5</v>
      </c>
      <c r="K32" s="165">
        <v>0</v>
      </c>
      <c r="L32" s="166"/>
      <c r="M32" s="165">
        <f t="shared" si="6"/>
        <v>6112.5</v>
      </c>
      <c r="N32" s="5"/>
    </row>
    <row r="33" spans="1:16" s="182" customFormat="1">
      <c r="A33" s="180"/>
      <c r="B33" s="5" t="s">
        <v>52</v>
      </c>
      <c r="C33" s="5"/>
      <c r="D33" s="163">
        <v>0</v>
      </c>
      <c r="E33" s="164"/>
      <c r="F33" s="163">
        <v>7000</v>
      </c>
      <c r="G33" s="164"/>
      <c r="H33" s="165">
        <f t="shared" si="3"/>
        <v>7000</v>
      </c>
      <c r="I33" s="164"/>
      <c r="J33" s="164">
        <f>GETPIVOTDATA("Sum of Encumbrances",PVT!$A$3,"Dept Descr","Student Center/Student Activ","Program Descr","Pre Med Club")</f>
        <v>48.61</v>
      </c>
      <c r="K33" s="165"/>
      <c r="L33" s="166"/>
      <c r="M33" s="165">
        <f t="shared" si="6"/>
        <v>6951.39</v>
      </c>
      <c r="N33" s="5"/>
    </row>
    <row r="34" spans="1:16" s="182" customFormat="1">
      <c r="A34" s="180"/>
      <c r="B34" s="5" t="s">
        <v>53</v>
      </c>
      <c r="C34" s="5"/>
      <c r="D34" s="163">
        <v>4000</v>
      </c>
      <c r="E34" s="164"/>
      <c r="F34" s="163">
        <v>3000</v>
      </c>
      <c r="G34" s="164"/>
      <c r="H34" s="165">
        <f t="shared" si="3"/>
        <v>7000</v>
      </c>
      <c r="I34" s="164"/>
      <c r="J34" s="164">
        <v>0</v>
      </c>
      <c r="K34" s="165">
        <f>GETPIVOTDATA("Sum of Expenditures",PVT!$A$3,"Dept Descr","Student Center/Student Activ","Program Descr","Social Work Club")</f>
        <v>600.96</v>
      </c>
      <c r="L34" s="166"/>
      <c r="M34" s="165">
        <f t="shared" si="6"/>
        <v>6399.04</v>
      </c>
      <c r="N34" s="5"/>
    </row>
    <row r="35" spans="1:16" s="182" customFormat="1">
      <c r="A35" s="180"/>
      <c r="B35" s="5" t="s">
        <v>54</v>
      </c>
      <c r="C35" s="5"/>
      <c r="D35" s="163">
        <v>4000</v>
      </c>
      <c r="E35" s="164"/>
      <c r="F35" s="163">
        <v>3000</v>
      </c>
      <c r="G35" s="164"/>
      <c r="H35" s="165">
        <f t="shared" si="3"/>
        <v>7000</v>
      </c>
      <c r="I35" s="164"/>
      <c r="J35" s="164">
        <f>GETPIVOTDATA("Sum of Encumbrances",PVT!$A$3,"Dept Descr","Student Center/Student Activ","Program Descr","YSOTA")</f>
        <v>1127.5</v>
      </c>
      <c r="K35" s="165">
        <f>GETPIVOTDATA("Sum of Expenditures",PVT!$A$3,"Dept Descr","Student Center/Student Activ","Program Descr","YSOTA")</f>
        <v>619.58000000000004</v>
      </c>
      <c r="L35" s="166"/>
      <c r="M35" s="165">
        <f t="shared" si="6"/>
        <v>5252.92</v>
      </c>
      <c r="N35" s="5"/>
    </row>
    <row r="36" spans="1:16">
      <c r="A36" s="180"/>
      <c r="B36" s="36" t="s">
        <v>218</v>
      </c>
      <c r="C36" s="5"/>
      <c r="D36" s="167">
        <f>SUM(D16:D35)</f>
        <v>63737</v>
      </c>
      <c r="E36" s="164"/>
      <c r="F36" s="167">
        <f>SUM(F16:F35)</f>
        <v>70000</v>
      </c>
      <c r="G36" s="164"/>
      <c r="H36" s="167">
        <f>SUM(H16:H35)</f>
        <v>133737</v>
      </c>
      <c r="I36" s="164"/>
      <c r="J36" s="167">
        <f>SUM(J16:J35)</f>
        <v>9229.75</v>
      </c>
      <c r="K36" s="167">
        <f>SUM(K16:K35)</f>
        <v>7493.55</v>
      </c>
      <c r="L36" s="166"/>
      <c r="M36" s="167">
        <f>SUM(M16:M35)</f>
        <v>117013.69999999998</v>
      </c>
      <c r="N36" s="175"/>
    </row>
    <row r="37" spans="1:16">
      <c r="A37" s="180"/>
      <c r="B37" s="7" t="s">
        <v>93</v>
      </c>
      <c r="C37" s="5"/>
      <c r="D37" s="163"/>
      <c r="E37" s="164"/>
      <c r="F37" s="163"/>
      <c r="G37" s="164"/>
      <c r="H37" s="165"/>
      <c r="I37" s="164"/>
      <c r="J37" s="165"/>
      <c r="K37" s="165"/>
      <c r="L37" s="166"/>
      <c r="M37" s="165"/>
      <c r="N37" s="5"/>
    </row>
    <row r="38" spans="1:16">
      <c r="A38" s="180"/>
      <c r="B38" s="5"/>
      <c r="C38" s="5"/>
      <c r="D38" s="163">
        <v>0</v>
      </c>
      <c r="E38" s="164"/>
      <c r="F38" s="163">
        <v>0</v>
      </c>
      <c r="G38" s="164"/>
      <c r="H38" s="165">
        <f t="shared" ref="H38:H40" si="7">+D38+F38</f>
        <v>0</v>
      </c>
      <c r="I38" s="164"/>
      <c r="J38" s="165">
        <v>0</v>
      </c>
      <c r="K38" s="165">
        <v>0</v>
      </c>
      <c r="L38" s="166"/>
      <c r="M38" s="165">
        <f t="shared" ref="M38:M40" si="8">H38-K38</f>
        <v>0</v>
      </c>
      <c r="N38" s="5"/>
    </row>
    <row r="39" spans="1:16" s="182" customFormat="1">
      <c r="A39" s="180"/>
      <c r="B39" s="5"/>
      <c r="C39" s="5"/>
      <c r="D39" s="163">
        <v>0</v>
      </c>
      <c r="E39" s="164"/>
      <c r="F39" s="163">
        <v>0</v>
      </c>
      <c r="G39" s="164"/>
      <c r="H39" s="165">
        <f t="shared" si="7"/>
        <v>0</v>
      </c>
      <c r="I39" s="164"/>
      <c r="J39" s="164">
        <v>0</v>
      </c>
      <c r="K39" s="165">
        <v>0</v>
      </c>
      <c r="L39" s="166"/>
      <c r="M39" s="165">
        <f t="shared" si="8"/>
        <v>0</v>
      </c>
      <c r="N39" s="5"/>
      <c r="P39" s="183"/>
    </row>
    <row r="40" spans="1:16">
      <c r="A40" s="180"/>
      <c r="B40" s="5"/>
      <c r="C40" s="5"/>
      <c r="D40" s="163">
        <v>0</v>
      </c>
      <c r="E40" s="164"/>
      <c r="F40" s="163">
        <v>0</v>
      </c>
      <c r="G40" s="164"/>
      <c r="H40" s="165">
        <f t="shared" si="7"/>
        <v>0</v>
      </c>
      <c r="I40" s="164"/>
      <c r="J40" s="165">
        <v>0</v>
      </c>
      <c r="K40" s="165">
        <v>0</v>
      </c>
      <c r="L40" s="166"/>
      <c r="M40" s="165">
        <f t="shared" si="8"/>
        <v>0</v>
      </c>
      <c r="N40" s="5"/>
      <c r="O40" s="80"/>
      <c r="P40" s="80"/>
    </row>
    <row r="41" spans="1:16">
      <c r="A41" s="180"/>
      <c r="B41" s="11" t="s">
        <v>219</v>
      </c>
      <c r="C41" s="5"/>
      <c r="D41" s="167">
        <f>SUM(D38:D40)</f>
        <v>0</v>
      </c>
      <c r="E41" s="164"/>
      <c r="F41" s="167">
        <f>SUM(F38:F40)</f>
        <v>0</v>
      </c>
      <c r="G41" s="164"/>
      <c r="H41" s="167">
        <f>SUM(H38:H40)</f>
        <v>0</v>
      </c>
      <c r="I41" s="164"/>
      <c r="J41" s="167">
        <f>SUM(J38:J40)</f>
        <v>0</v>
      </c>
      <c r="K41" s="167">
        <f>SUM(K38:K40)</f>
        <v>0</v>
      </c>
      <c r="L41" s="167">
        <f>SUM(L38:L40)</f>
        <v>0</v>
      </c>
      <c r="M41" s="167">
        <f>SUM(M38:M40)</f>
        <v>0</v>
      </c>
      <c r="N41" s="175"/>
    </row>
    <row r="42" spans="1:16">
      <c r="A42" s="184"/>
      <c r="B42" s="36" t="s">
        <v>208</v>
      </c>
      <c r="C42" s="5"/>
      <c r="D42" s="167">
        <f>SUM(D21:D40)</f>
        <v>119344</v>
      </c>
      <c r="E42" s="164"/>
      <c r="F42" s="167">
        <f>F36+F41</f>
        <v>70000</v>
      </c>
      <c r="G42" s="164"/>
      <c r="H42" s="167">
        <f>H36+H41</f>
        <v>133737</v>
      </c>
      <c r="I42" s="164"/>
      <c r="J42" s="167">
        <f>+J36+J41</f>
        <v>9229.75</v>
      </c>
      <c r="K42" s="167">
        <f>+K36+K41</f>
        <v>7493.55</v>
      </c>
      <c r="L42" s="166"/>
      <c r="M42" s="167">
        <f>M36+M41</f>
        <v>117013.69999999998</v>
      </c>
      <c r="N42" s="175"/>
    </row>
    <row r="43" spans="1:16">
      <c r="A43" s="184"/>
      <c r="B43" s="36" t="s">
        <v>153</v>
      </c>
      <c r="C43" s="5"/>
      <c r="D43" s="167">
        <f>+D16+D42</f>
        <v>119344</v>
      </c>
      <c r="E43" s="164"/>
      <c r="F43" s="167">
        <f>+F16+F42</f>
        <v>70000</v>
      </c>
      <c r="G43" s="164"/>
      <c r="H43" s="167">
        <f>H16+H42</f>
        <v>133737</v>
      </c>
      <c r="I43" s="164"/>
      <c r="J43" s="167">
        <f>J16+J42</f>
        <v>9229.75</v>
      </c>
      <c r="K43" s="167">
        <f>K16+K42</f>
        <v>7493.55</v>
      </c>
      <c r="L43" s="164"/>
      <c r="M43" s="167">
        <f>+M16+M42</f>
        <v>117013.69999999998</v>
      </c>
      <c r="N43" s="175"/>
    </row>
    <row r="44" spans="1:16">
      <c r="A44" s="184"/>
      <c r="B44" s="36" t="s">
        <v>154</v>
      </c>
      <c r="C44" s="5"/>
      <c r="D44" s="167">
        <f>D13-D43</f>
        <v>-89981.389255203103</v>
      </c>
      <c r="E44" s="164"/>
      <c r="F44" s="164"/>
      <c r="G44" s="164"/>
      <c r="H44" s="167">
        <f>H13-H43</f>
        <v>-94374.389255203103</v>
      </c>
      <c r="I44" s="164"/>
      <c r="J44" s="164"/>
      <c r="K44" s="164"/>
      <c r="L44" s="164"/>
      <c r="M44" s="164"/>
      <c r="N44" s="175"/>
    </row>
    <row r="45" spans="1:16">
      <c r="A45" s="184"/>
      <c r="B45" s="36" t="s">
        <v>220</v>
      </c>
      <c r="C45" s="5"/>
      <c r="D45" s="185">
        <v>0</v>
      </c>
      <c r="E45" s="186"/>
      <c r="F45" s="163">
        <v>0</v>
      </c>
      <c r="G45" s="186"/>
      <c r="H45" s="165">
        <f>+D45+F45</f>
        <v>0</v>
      </c>
      <c r="I45" s="186"/>
      <c r="J45" s="186"/>
      <c r="K45" s="187">
        <v>0</v>
      </c>
      <c r="L45" s="188"/>
      <c r="M45" s="187">
        <v>0</v>
      </c>
      <c r="N45" s="5"/>
    </row>
    <row r="46" spans="1:16">
      <c r="B46" s="36" t="s">
        <v>221</v>
      </c>
      <c r="D46" s="167">
        <f>+D44+D45</f>
        <v>-89981.389255203103</v>
      </c>
      <c r="E46" s="164"/>
      <c r="F46" s="189">
        <f>+F44+F45</f>
        <v>0</v>
      </c>
      <c r="G46" s="164"/>
      <c r="H46" s="168">
        <f>+H44+H45</f>
        <v>-94374.389255203103</v>
      </c>
      <c r="I46" s="164"/>
      <c r="J46" s="164"/>
      <c r="K46" s="190">
        <f>+K44+K45</f>
        <v>0</v>
      </c>
      <c r="L46" s="166"/>
      <c r="M46" s="190">
        <f>+M44+M45</f>
        <v>0</v>
      </c>
    </row>
    <row r="47" spans="1:16">
      <c r="K47" s="80"/>
    </row>
    <row r="48" spans="1:16">
      <c r="H48" s="80"/>
      <c r="K48" s="80"/>
    </row>
  </sheetData>
  <mergeCells count="4">
    <mergeCell ref="A1:M1"/>
    <mergeCell ref="A2:M2"/>
    <mergeCell ref="A3:M3"/>
    <mergeCell ref="A4:M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92044-E8D8-48F3-B6D1-5679C0AD494C}">
  <sheetPr>
    <tabColor theme="6" tint="0.79998168889431442"/>
  </sheetPr>
  <dimension ref="A1:N21"/>
  <sheetViews>
    <sheetView workbookViewId="0">
      <selection activeCell="J30" sqref="J30"/>
    </sheetView>
  </sheetViews>
  <sheetFormatPr defaultRowHeight="15"/>
  <cols>
    <col min="1" max="1" width="21.85546875" bestFit="1" customWidth="1"/>
    <col min="2" max="2" width="3.42578125" customWidth="1"/>
    <col min="3" max="3" width="13" customWidth="1"/>
    <col min="4" max="4" width="1.5703125" customWidth="1"/>
    <col min="5" max="5" width="13" customWidth="1"/>
    <col min="6" max="6" width="1.5703125" customWidth="1"/>
    <col min="7" max="7" width="13" customWidth="1"/>
    <col min="8" max="8" width="1.5703125" customWidth="1"/>
    <col min="9" max="9" width="15.140625" customWidth="1"/>
    <col min="10" max="10" width="13" customWidth="1"/>
    <col min="11" max="11" width="1.5703125" customWidth="1"/>
    <col min="12" max="12" width="13" customWidth="1"/>
  </cols>
  <sheetData>
    <row r="1" spans="1:14">
      <c r="A1" s="259" t="s">
        <v>65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22"/>
    </row>
    <row r="2" spans="1:14">
      <c r="A2" s="259" t="s">
        <v>222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22"/>
    </row>
    <row r="3" spans="1:14">
      <c r="A3" s="259" t="s">
        <v>189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22"/>
    </row>
    <row r="4" spans="1:14" ht="17.25" customHeight="1">
      <c r="A4" s="259" t="str">
        <f>'Budget Committee'!A4:L4</f>
        <v>As of March 31, 2025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22"/>
    </row>
    <row r="6" spans="1:14" ht="27" thickBot="1">
      <c r="A6" s="204"/>
      <c r="B6" s="205"/>
      <c r="C6" s="206" t="s">
        <v>72</v>
      </c>
      <c r="D6" s="207"/>
      <c r="E6" s="206" t="s">
        <v>73</v>
      </c>
      <c r="F6" s="207"/>
      <c r="G6" s="206" t="s">
        <v>74</v>
      </c>
      <c r="H6" s="207"/>
      <c r="I6" s="37" t="s">
        <v>148</v>
      </c>
      <c r="J6" s="37" t="s">
        <v>194</v>
      </c>
      <c r="K6" s="38"/>
      <c r="L6" s="206" t="s">
        <v>150</v>
      </c>
      <c r="M6" s="208"/>
    </row>
    <row r="7" spans="1:14">
      <c r="A7" s="208" t="s">
        <v>223</v>
      </c>
      <c r="B7" s="208"/>
      <c r="C7" s="209">
        <v>0</v>
      </c>
      <c r="D7" s="210"/>
      <c r="E7" s="209">
        <v>0</v>
      </c>
      <c r="F7" s="210"/>
      <c r="G7" s="211">
        <f>+C7+E7</f>
        <v>0</v>
      </c>
      <c r="H7" s="210"/>
      <c r="I7" s="210"/>
      <c r="J7" s="211">
        <v>0</v>
      </c>
      <c r="K7" s="213"/>
      <c r="L7" s="211">
        <v>35000</v>
      </c>
      <c r="M7" s="208"/>
    </row>
    <row r="8" spans="1:14">
      <c r="A8" s="214" t="s">
        <v>224</v>
      </c>
      <c r="B8" s="208"/>
      <c r="C8" s="215">
        <f>SUM(C7)</f>
        <v>0</v>
      </c>
      <c r="D8" s="210"/>
      <c r="E8" s="215">
        <f>SUM(E7)</f>
        <v>0</v>
      </c>
      <c r="F8" s="210"/>
      <c r="G8" s="216">
        <f>SUM(G7)</f>
        <v>0</v>
      </c>
      <c r="H8" s="210"/>
      <c r="I8" s="216">
        <v>0</v>
      </c>
      <c r="J8" s="216">
        <v>0</v>
      </c>
      <c r="K8" s="213"/>
      <c r="L8" s="216">
        <v>35000</v>
      </c>
      <c r="M8" s="208"/>
    </row>
    <row r="9" spans="1:14">
      <c r="A9" s="214"/>
      <c r="B9" s="208"/>
      <c r="C9" s="210"/>
      <c r="D9" s="210"/>
      <c r="E9" s="210"/>
      <c r="F9" s="210"/>
      <c r="G9" s="213"/>
      <c r="H9" s="210"/>
      <c r="I9" s="210"/>
      <c r="J9" s="213"/>
      <c r="K9" s="213"/>
      <c r="L9" s="213"/>
      <c r="M9" s="208"/>
    </row>
    <row r="10" spans="1:14">
      <c r="A10" s="208" t="s">
        <v>225</v>
      </c>
      <c r="B10" s="208"/>
      <c r="C10" s="209">
        <v>0</v>
      </c>
      <c r="D10" s="210"/>
      <c r="E10" s="209">
        <v>0</v>
      </c>
      <c r="F10" s="210"/>
      <c r="G10" s="211">
        <f>C10+E10</f>
        <v>0</v>
      </c>
      <c r="H10" s="210"/>
      <c r="I10" s="210">
        <v>0</v>
      </c>
      <c r="J10" s="211">
        <v>0</v>
      </c>
      <c r="K10" s="213"/>
      <c r="L10" s="211">
        <f>G10-I10-J10</f>
        <v>0</v>
      </c>
      <c r="M10" s="208"/>
    </row>
    <row r="11" spans="1:14">
      <c r="A11" s="208" t="s">
        <v>226</v>
      </c>
      <c r="B11" s="208"/>
      <c r="C11" s="209">
        <v>0</v>
      </c>
      <c r="D11" s="210"/>
      <c r="E11" s="209">
        <v>0</v>
      </c>
      <c r="F11" s="210"/>
      <c r="G11" s="211">
        <f t="shared" ref="G11:G18" si="0">C11+E11</f>
        <v>0</v>
      </c>
      <c r="H11" s="210"/>
      <c r="I11" s="210"/>
      <c r="J11" s="211">
        <v>0</v>
      </c>
      <c r="K11" s="213"/>
      <c r="L11" s="211">
        <f t="shared" ref="L11:L19" si="1">G11-I11-J11</f>
        <v>0</v>
      </c>
      <c r="M11" s="208"/>
    </row>
    <row r="12" spans="1:14">
      <c r="A12" s="208" t="s">
        <v>227</v>
      </c>
      <c r="B12" s="208"/>
      <c r="C12" s="209">
        <v>0</v>
      </c>
      <c r="D12" s="210"/>
      <c r="E12" s="209">
        <v>0</v>
      </c>
      <c r="F12" s="210"/>
      <c r="G12" s="211">
        <f t="shared" si="0"/>
        <v>0</v>
      </c>
      <c r="H12" s="210"/>
      <c r="I12" s="210">
        <v>0</v>
      </c>
      <c r="J12" s="211">
        <v>0</v>
      </c>
      <c r="K12" s="213"/>
      <c r="L12" s="211">
        <f t="shared" si="1"/>
        <v>0</v>
      </c>
      <c r="M12" s="208"/>
    </row>
    <row r="13" spans="1:14">
      <c r="A13" s="208" t="s">
        <v>200</v>
      </c>
      <c r="B13" s="208"/>
      <c r="C13" s="209">
        <v>0</v>
      </c>
      <c r="D13" s="210"/>
      <c r="E13" s="209">
        <v>0</v>
      </c>
      <c r="F13" s="210"/>
      <c r="G13" s="211">
        <f t="shared" si="0"/>
        <v>0</v>
      </c>
      <c r="H13" s="210"/>
      <c r="I13" s="210">
        <v>0</v>
      </c>
      <c r="J13" s="211">
        <v>0</v>
      </c>
      <c r="K13" s="213"/>
      <c r="L13" s="211">
        <f t="shared" si="1"/>
        <v>0</v>
      </c>
      <c r="M13" s="208"/>
    </row>
    <row r="14" spans="1:14">
      <c r="A14" s="208" t="s">
        <v>228</v>
      </c>
      <c r="B14" s="208"/>
      <c r="C14" s="209">
        <v>0</v>
      </c>
      <c r="D14" s="210"/>
      <c r="E14" s="209">
        <v>0</v>
      </c>
      <c r="F14" s="210"/>
      <c r="G14" s="211">
        <f t="shared" si="0"/>
        <v>0</v>
      </c>
      <c r="H14" s="210"/>
      <c r="I14" s="210"/>
      <c r="J14" s="211">
        <v>0</v>
      </c>
      <c r="K14" s="213"/>
      <c r="L14" s="211">
        <f t="shared" si="1"/>
        <v>0</v>
      </c>
      <c r="M14" s="208"/>
    </row>
    <row r="15" spans="1:14" hidden="1">
      <c r="A15" s="208" t="s">
        <v>229</v>
      </c>
      <c r="B15" s="208"/>
      <c r="C15" s="209">
        <v>0</v>
      </c>
      <c r="D15" s="210"/>
      <c r="E15" s="209">
        <v>0</v>
      </c>
      <c r="F15" s="210"/>
      <c r="G15" s="211">
        <f t="shared" si="0"/>
        <v>0</v>
      </c>
      <c r="H15" s="210"/>
      <c r="I15" s="210"/>
      <c r="J15" s="211">
        <v>0</v>
      </c>
      <c r="K15" s="213"/>
      <c r="L15" s="211">
        <f t="shared" si="1"/>
        <v>0</v>
      </c>
      <c r="M15" s="208"/>
    </row>
    <row r="16" spans="1:14" hidden="1">
      <c r="A16" s="208" t="s">
        <v>230</v>
      </c>
      <c r="B16" s="208"/>
      <c r="C16" s="209">
        <v>0</v>
      </c>
      <c r="D16" s="210"/>
      <c r="E16" s="209">
        <v>0</v>
      </c>
      <c r="F16" s="210"/>
      <c r="G16" s="211">
        <f t="shared" si="0"/>
        <v>0</v>
      </c>
      <c r="H16" s="210"/>
      <c r="I16" s="210"/>
      <c r="J16" s="211">
        <v>0</v>
      </c>
      <c r="K16" s="213"/>
      <c r="L16" s="211">
        <f t="shared" si="1"/>
        <v>0</v>
      </c>
      <c r="M16" s="208"/>
    </row>
    <row r="17" spans="1:13" hidden="1">
      <c r="A17" s="208" t="s">
        <v>174</v>
      </c>
      <c r="B17" s="208"/>
      <c r="C17" s="209">
        <v>0</v>
      </c>
      <c r="D17" s="210"/>
      <c r="E17" s="209">
        <v>0</v>
      </c>
      <c r="F17" s="210"/>
      <c r="G17" s="211">
        <f t="shared" si="0"/>
        <v>0</v>
      </c>
      <c r="H17" s="210"/>
      <c r="I17" s="210"/>
      <c r="J17" s="211">
        <v>0</v>
      </c>
      <c r="K17" s="213"/>
      <c r="L17" s="211">
        <f t="shared" si="1"/>
        <v>0</v>
      </c>
      <c r="M17" s="208"/>
    </row>
    <row r="18" spans="1:13" hidden="1">
      <c r="A18" s="208" t="s">
        <v>231</v>
      </c>
      <c r="B18" s="208"/>
      <c r="C18" s="209">
        <v>0</v>
      </c>
      <c r="D18" s="210"/>
      <c r="E18" s="209">
        <v>0</v>
      </c>
      <c r="F18" s="210"/>
      <c r="G18" s="211">
        <f t="shared" si="0"/>
        <v>0</v>
      </c>
      <c r="H18" s="210"/>
      <c r="I18" s="210"/>
      <c r="J18" s="211">
        <v>0</v>
      </c>
      <c r="K18" s="213"/>
      <c r="L18" s="211">
        <f t="shared" si="1"/>
        <v>0</v>
      </c>
      <c r="M18" s="208"/>
    </row>
    <row r="19" spans="1:13">
      <c r="A19" s="36" t="s">
        <v>153</v>
      </c>
      <c r="B19" s="208"/>
      <c r="C19" s="215">
        <f>SUM(C10:C18)</f>
        <v>0</v>
      </c>
      <c r="D19" s="210"/>
      <c r="E19" s="215">
        <f>SUM(E10:E18)</f>
        <v>0</v>
      </c>
      <c r="F19" s="210"/>
      <c r="G19" s="215">
        <f>SUM(G10:G18)</f>
        <v>0</v>
      </c>
      <c r="H19" s="210"/>
      <c r="I19" s="215">
        <f>SUM(I10:I18)</f>
        <v>0</v>
      </c>
      <c r="J19" s="215">
        <f>SUM(J10:J18)</f>
        <v>0</v>
      </c>
      <c r="K19" s="210"/>
      <c r="L19" s="216">
        <f t="shared" si="1"/>
        <v>0</v>
      </c>
      <c r="M19" s="208"/>
    </row>
    <row r="20" spans="1:13">
      <c r="A20" s="36" t="s">
        <v>154</v>
      </c>
      <c r="B20" s="208"/>
      <c r="C20" s="215">
        <f>C8-C19</f>
        <v>0</v>
      </c>
      <c r="D20" s="210"/>
      <c r="E20" s="210"/>
      <c r="F20" s="210"/>
      <c r="G20" s="215">
        <f>G8-G19</f>
        <v>0</v>
      </c>
      <c r="H20" s="210"/>
      <c r="I20" s="210"/>
      <c r="J20" s="210"/>
      <c r="K20" s="210"/>
      <c r="L20" s="210"/>
      <c r="M20" s="208"/>
    </row>
    <row r="21" spans="1:13">
      <c r="A21" s="208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</row>
  </sheetData>
  <mergeCells count="4">
    <mergeCell ref="A1:M1"/>
    <mergeCell ref="A2:M2"/>
    <mergeCell ref="A3:M3"/>
    <mergeCell ref="A4:M4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J26"/>
  <sheetViews>
    <sheetView zoomScale="140" zoomScaleNormal="140" workbookViewId="0">
      <selection activeCell="F9" sqref="F9"/>
    </sheetView>
  </sheetViews>
  <sheetFormatPr defaultRowHeight="15"/>
  <cols>
    <col min="1" max="1" width="38.7109375" customWidth="1"/>
    <col min="2" max="2" width="13" customWidth="1"/>
    <col min="3" max="3" width="11" customWidth="1"/>
    <col min="4" max="4" width="11.5703125" customWidth="1"/>
    <col min="5" max="5" width="0.5703125" customWidth="1"/>
    <col min="6" max="6" width="11" customWidth="1"/>
    <col min="7" max="7" width="0" hidden="1" customWidth="1"/>
    <col min="9" max="9" width="11" bestFit="1" customWidth="1"/>
  </cols>
  <sheetData>
    <row r="1" spans="1:10">
      <c r="A1" s="260" t="s">
        <v>232</v>
      </c>
      <c r="B1" s="260"/>
      <c r="C1" s="260"/>
      <c r="D1" s="260"/>
      <c r="E1" s="260"/>
      <c r="F1" s="260"/>
    </row>
    <row r="2" spans="1:10">
      <c r="A2" s="260" t="s">
        <v>233</v>
      </c>
      <c r="B2" s="260"/>
      <c r="C2" s="260"/>
      <c r="D2" s="260"/>
      <c r="E2" s="260"/>
      <c r="F2" s="260"/>
    </row>
    <row r="3" spans="1:10">
      <c r="A3" s="260" t="s">
        <v>234</v>
      </c>
      <c r="B3" s="260"/>
      <c r="C3" s="260"/>
      <c r="D3" s="260"/>
      <c r="E3" s="260"/>
      <c r="F3" s="260"/>
    </row>
    <row r="5" spans="1:10" ht="15.75" thickBot="1">
      <c r="B5" s="1"/>
    </row>
    <row r="6" spans="1:10" ht="30.75" thickBot="1">
      <c r="A6" s="40" t="s">
        <v>235</v>
      </c>
      <c r="B6" s="41" t="s">
        <v>236</v>
      </c>
      <c r="C6" s="42" t="s">
        <v>237</v>
      </c>
      <c r="D6" s="42" t="s">
        <v>238</v>
      </c>
      <c r="E6" s="226"/>
      <c r="F6" s="43" t="s">
        <v>239</v>
      </c>
    </row>
    <row r="7" spans="1:10" ht="18" customHeight="1">
      <c r="A7" s="44" t="s">
        <v>240</v>
      </c>
      <c r="B7" s="45">
        <f>Referendums!E18</f>
        <v>178764.70372398445</v>
      </c>
      <c r="C7" s="46">
        <f>B7/+B$16</f>
        <v>0.2976540570359279</v>
      </c>
      <c r="D7" s="47">
        <f>80000*C7</f>
        <v>23812.324562874233</v>
      </c>
      <c r="E7" s="58"/>
      <c r="F7" s="48">
        <f>ROUND(D7,-2)</f>
        <v>23800</v>
      </c>
      <c r="G7" s="33">
        <f>ROUNDUP(D7,-2)</f>
        <v>23900</v>
      </c>
      <c r="I7" s="31"/>
      <c r="J7" s="31"/>
    </row>
    <row r="8" spans="1:10" ht="18" customHeight="1">
      <c r="A8" s="49" t="s">
        <v>241</v>
      </c>
      <c r="B8" s="50">
        <f>Referendums!E29</f>
        <v>182608.13760678913</v>
      </c>
      <c r="C8" s="51">
        <f t="shared" ref="C8:C15" si="0">B8/+B$16</f>
        <v>0.30405360719507191</v>
      </c>
      <c r="D8" s="52">
        <f t="shared" ref="D8:D15" si="1">80000*C8</f>
        <v>24324.288575605751</v>
      </c>
      <c r="E8" s="59"/>
      <c r="F8" s="53">
        <f>ROUND(D8,-2)</f>
        <v>24300</v>
      </c>
      <c r="G8" s="33">
        <f>ROUNDDOWN(D8,-2)</f>
        <v>24300</v>
      </c>
      <c r="I8" s="31"/>
      <c r="J8" s="31"/>
    </row>
    <row r="9" spans="1:10" ht="18" customHeight="1">
      <c r="A9" s="54" t="s">
        <v>242</v>
      </c>
      <c r="B9" s="50">
        <f>Referendums!E40</f>
        <v>44355</v>
      </c>
      <c r="C9" s="51">
        <f t="shared" si="0"/>
        <v>7.3853760976290761E-2</v>
      </c>
      <c r="D9" s="52">
        <f t="shared" si="1"/>
        <v>5908.3008781032613</v>
      </c>
      <c r="E9" s="59"/>
      <c r="F9" s="53">
        <f t="shared" ref="F9:F15" si="2">ROUND(D9,-2)</f>
        <v>5900</v>
      </c>
      <c r="G9" s="33">
        <f t="shared" ref="G9:G14" si="3">ROUNDUP(D9,-2)</f>
        <v>6000</v>
      </c>
      <c r="I9" s="31"/>
      <c r="J9" s="31"/>
    </row>
    <row r="10" spans="1:10" ht="18" customHeight="1">
      <c r="A10" s="49" t="s">
        <v>243</v>
      </c>
      <c r="B10" s="55">
        <f>Referendums!E52</f>
        <v>32423.305372398445</v>
      </c>
      <c r="C10" s="51">
        <f t="shared" si="0"/>
        <v>5.3986766881623238E-2</v>
      </c>
      <c r="D10" s="52">
        <f t="shared" si="1"/>
        <v>4318.9413505298589</v>
      </c>
      <c r="E10" s="59"/>
      <c r="F10" s="53">
        <f t="shared" si="2"/>
        <v>4300</v>
      </c>
      <c r="G10" s="33">
        <f>ROUNDDOWN(D10,-2)</f>
        <v>4300</v>
      </c>
      <c r="I10" s="31"/>
      <c r="J10" s="31"/>
    </row>
    <row r="11" spans="1:10" ht="18" customHeight="1">
      <c r="A11" s="54" t="s">
        <v>244</v>
      </c>
      <c r="B11" s="50">
        <f>Referendums!E64</f>
        <v>26613</v>
      </c>
      <c r="C11" s="51">
        <f t="shared" si="0"/>
        <v>4.4312256585774451E-2</v>
      </c>
      <c r="D11" s="52">
        <f t="shared" si="1"/>
        <v>3544.9805268619562</v>
      </c>
      <c r="E11" s="59"/>
      <c r="F11" s="53">
        <f t="shared" si="2"/>
        <v>3500</v>
      </c>
      <c r="G11" s="33">
        <f>ROUNDDOWN(D11,-2)</f>
        <v>3500</v>
      </c>
      <c r="I11" s="31"/>
      <c r="J11" s="31"/>
    </row>
    <row r="12" spans="1:10" ht="18" customHeight="1">
      <c r="A12" s="54" t="s">
        <v>245</v>
      </c>
      <c r="B12" s="50">
        <f>Referendums!E75</f>
        <v>35484</v>
      </c>
      <c r="C12" s="51">
        <f t="shared" si="0"/>
        <v>5.9083008781032606E-2</v>
      </c>
      <c r="D12" s="52">
        <f t="shared" si="1"/>
        <v>4726.6407024826085</v>
      </c>
      <c r="E12" s="59"/>
      <c r="F12" s="53">
        <f t="shared" si="2"/>
        <v>4700</v>
      </c>
      <c r="G12" s="33">
        <f>ROUNDDOWN(D12,-2)</f>
        <v>4700</v>
      </c>
      <c r="I12" s="31"/>
      <c r="J12" s="31"/>
    </row>
    <row r="13" spans="1:10" ht="18" customHeight="1">
      <c r="A13" s="54" t="s">
        <v>246</v>
      </c>
      <c r="B13" s="50">
        <f>Referendums!E86</f>
        <v>17742</v>
      </c>
      <c r="C13" s="51">
        <f t="shared" si="0"/>
        <v>2.9541504390516303E-2</v>
      </c>
      <c r="D13" s="52">
        <f t="shared" si="1"/>
        <v>2363.3203512413043</v>
      </c>
      <c r="E13" s="59"/>
      <c r="F13" s="53">
        <f t="shared" si="2"/>
        <v>2400</v>
      </c>
      <c r="G13" s="33">
        <f t="shared" si="3"/>
        <v>2400</v>
      </c>
      <c r="I13" s="31"/>
      <c r="J13" s="31"/>
    </row>
    <row r="14" spans="1:10" ht="18" customHeight="1">
      <c r="A14" s="49" t="s">
        <v>247</v>
      </c>
      <c r="B14" s="50">
        <f>Referendums!E97</f>
        <v>53226</v>
      </c>
      <c r="C14" s="51">
        <f t="shared" si="0"/>
        <v>8.8624513171548902E-2</v>
      </c>
      <c r="D14" s="52">
        <f t="shared" si="1"/>
        <v>7089.9610537239123</v>
      </c>
      <c r="E14" s="59"/>
      <c r="F14" s="53">
        <f t="shared" si="2"/>
        <v>7100</v>
      </c>
      <c r="G14" s="33">
        <f t="shared" si="3"/>
        <v>7100</v>
      </c>
      <c r="I14" s="31"/>
      <c r="J14" s="31"/>
    </row>
    <row r="15" spans="1:10" ht="18" customHeight="1" thickBot="1">
      <c r="A15" s="230" t="s">
        <v>248</v>
      </c>
      <c r="B15" s="227">
        <f>Referendums!E109</f>
        <v>29362.61074479689</v>
      </c>
      <c r="C15" s="231">
        <f t="shared" si="0"/>
        <v>4.889052498221387E-2</v>
      </c>
      <c r="D15" s="228">
        <f t="shared" si="1"/>
        <v>3911.2419985771098</v>
      </c>
      <c r="E15" s="232"/>
      <c r="F15" s="233">
        <f t="shared" si="2"/>
        <v>3900</v>
      </c>
      <c r="G15" s="33">
        <f>ROUNDDOWN(D15,-2)</f>
        <v>3900</v>
      </c>
      <c r="I15" s="31"/>
      <c r="J15" s="31"/>
    </row>
    <row r="16" spans="1:10" ht="18" customHeight="1" thickBot="1">
      <c r="A16" s="56" t="s">
        <v>249</v>
      </c>
      <c r="B16" s="227">
        <f>SUM(B7:B15)</f>
        <v>600578.75744796894</v>
      </c>
      <c r="C16" s="57"/>
      <c r="D16" s="228">
        <f>SUM(D7:D15)</f>
        <v>79999.999999999985</v>
      </c>
      <c r="E16" s="60"/>
      <c r="F16" s="229">
        <f>SUM(F7:F15)</f>
        <v>79900</v>
      </c>
    </row>
    <row r="17" spans="1:2">
      <c r="A17" s="2"/>
      <c r="B17" s="24"/>
    </row>
    <row r="18" spans="1:2">
      <c r="B18" s="24"/>
    </row>
    <row r="19" spans="1:2">
      <c r="B19" s="24"/>
    </row>
    <row r="20" spans="1:2">
      <c r="B20" s="24"/>
    </row>
    <row r="21" spans="1:2">
      <c r="B21" s="24"/>
    </row>
    <row r="22" spans="1:2">
      <c r="B22" s="24"/>
    </row>
    <row r="23" spans="1:2">
      <c r="B23" s="24"/>
    </row>
    <row r="24" spans="1:2">
      <c r="B24" s="24"/>
    </row>
    <row r="25" spans="1:2">
      <c r="B25" s="24"/>
    </row>
    <row r="26" spans="1:2">
      <c r="B26" s="24"/>
    </row>
  </sheetData>
  <mergeCells count="3">
    <mergeCell ref="A1:F1"/>
    <mergeCell ref="A2:F2"/>
    <mergeCell ref="A3:F3"/>
  </mergeCells>
  <printOptions horizontalCentered="1"/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J110"/>
  <sheetViews>
    <sheetView topLeftCell="A88" zoomScaleNormal="100" workbookViewId="0">
      <selection activeCell="N101" sqref="N101"/>
    </sheetView>
  </sheetViews>
  <sheetFormatPr defaultColWidth="9.140625" defaultRowHeight="15"/>
  <cols>
    <col min="1" max="2" width="9.140625" style="62"/>
    <col min="3" max="3" width="28.5703125" style="62" bestFit="1" customWidth="1"/>
    <col min="4" max="4" width="8.42578125" style="155" customWidth="1"/>
    <col min="5" max="5" width="11.5703125" style="63" bestFit="1" customWidth="1"/>
    <col min="6" max="6" width="2.85546875" style="62" customWidth="1"/>
    <col min="7" max="7" width="15.7109375" style="62" hidden="1" customWidth="1"/>
    <col min="8" max="8" width="11.5703125" style="62" bestFit="1" customWidth="1"/>
    <col min="9" max="9" width="9.140625" style="62"/>
    <col min="10" max="10" width="11.5703125" style="62" bestFit="1" customWidth="1"/>
    <col min="11" max="16384" width="9.140625" style="62"/>
  </cols>
  <sheetData>
    <row r="1" spans="1:7" ht="15.75">
      <c r="A1" s="12" t="s">
        <v>250</v>
      </c>
      <c r="B1" s="12"/>
      <c r="C1" s="12"/>
      <c r="D1" s="13"/>
      <c r="E1" s="14"/>
    </row>
    <row r="2" spans="1:7">
      <c r="A2" s="7" t="s">
        <v>251</v>
      </c>
      <c r="B2" s="7"/>
      <c r="C2" s="7"/>
      <c r="D2" s="11"/>
      <c r="E2" s="15"/>
    </row>
    <row r="3" spans="1:7">
      <c r="A3" s="7" t="s">
        <v>252</v>
      </c>
      <c r="B3" s="7"/>
      <c r="C3" s="7"/>
      <c r="D3" s="11"/>
      <c r="E3" s="15"/>
    </row>
    <row r="4" spans="1:7">
      <c r="E4" s="16"/>
    </row>
    <row r="5" spans="1:7">
      <c r="A5" s="7" t="s">
        <v>253</v>
      </c>
      <c r="E5" s="16"/>
    </row>
    <row r="6" spans="1:7">
      <c r="E6" s="16"/>
    </row>
    <row r="7" spans="1:7">
      <c r="A7" s="7" t="s">
        <v>254</v>
      </c>
      <c r="B7" s="7"/>
      <c r="C7" s="7"/>
      <c r="D7" s="11"/>
      <c r="E7" s="15"/>
      <c r="G7" s="94" t="s">
        <v>255</v>
      </c>
    </row>
    <row r="8" spans="1:7">
      <c r="B8" s="62" t="s">
        <v>256</v>
      </c>
      <c r="E8" s="16"/>
    </row>
    <row r="9" spans="1:7">
      <c r="B9" s="11"/>
      <c r="C9" s="62" t="s">
        <v>257</v>
      </c>
      <c r="D9" s="250">
        <f>Enrollment!K9</f>
        <v>1450</v>
      </c>
      <c r="E9" s="17">
        <f>D9*'Fee Breakdown'!C10</f>
        <v>21750</v>
      </c>
    </row>
    <row r="10" spans="1:7">
      <c r="B10" s="62" t="s">
        <v>258</v>
      </c>
      <c r="E10" s="16"/>
    </row>
    <row r="11" spans="1:7">
      <c r="B11" s="155"/>
      <c r="C11" s="62" t="s">
        <v>259</v>
      </c>
      <c r="D11" s="250">
        <f>Enrollment!K13</f>
        <v>2903.7668198913498</v>
      </c>
      <c r="E11" s="39">
        <f>D11*'Fee Breakdown'!E10</f>
        <v>61414.668240702042</v>
      </c>
    </row>
    <row r="12" spans="1:7">
      <c r="B12" s="155"/>
      <c r="C12" s="62" t="s">
        <v>260</v>
      </c>
      <c r="D12" s="250">
        <f>Enrollment!K14</f>
        <v>1780.2331801086502</v>
      </c>
      <c r="E12" s="17">
        <f>D12*'Fee Breakdown'!G10</f>
        <v>19849.599958211449</v>
      </c>
    </row>
    <row r="13" spans="1:7">
      <c r="C13" s="155" t="s">
        <v>261</v>
      </c>
      <c r="E13" s="18">
        <f>SUM(E11:E12)</f>
        <v>81264.268198913487</v>
      </c>
    </row>
    <row r="14" spans="1:7">
      <c r="B14" s="62" t="s">
        <v>262</v>
      </c>
      <c r="E14" s="16"/>
    </row>
    <row r="15" spans="1:7">
      <c r="B15" s="11"/>
      <c r="C15" s="62" t="s">
        <v>259</v>
      </c>
      <c r="D15" s="250">
        <f>Enrollment!K18</f>
        <v>2906.5385525070956</v>
      </c>
      <c r="E15" s="39">
        <f>D15*'Fee Breakdown'!E10</f>
        <v>61473.29038552507</v>
      </c>
    </row>
    <row r="16" spans="1:7">
      <c r="B16" s="11"/>
      <c r="C16" s="62" t="s">
        <v>260</v>
      </c>
      <c r="D16" s="250">
        <f>Enrollment!K19</f>
        <v>1280.4614474929047</v>
      </c>
      <c r="E16" s="17">
        <f>D16*'Fee Breakdown'!G10</f>
        <v>14277.145139545888</v>
      </c>
    </row>
    <row r="17" spans="1:7">
      <c r="A17" s="7"/>
      <c r="E17" s="16">
        <f>SUM(E15:E16)</f>
        <v>75750.435525070963</v>
      </c>
    </row>
    <row r="18" spans="1:7">
      <c r="B18" s="7" t="s">
        <v>263</v>
      </c>
      <c r="D18" s="11"/>
      <c r="E18" s="19">
        <f>E9+E13+E17</f>
        <v>178764.70372398445</v>
      </c>
      <c r="G18" s="80">
        <f>E18*30%</f>
        <v>53629.411117195334</v>
      </c>
    </row>
    <row r="19" spans="1:7">
      <c r="B19" s="7"/>
      <c r="D19" s="11"/>
      <c r="E19" s="15"/>
    </row>
    <row r="20" spans="1:7">
      <c r="A20" s="7" t="s">
        <v>264</v>
      </c>
      <c r="B20" s="7"/>
      <c r="C20" s="7"/>
      <c r="D20" s="11"/>
      <c r="E20" s="15"/>
    </row>
    <row r="21" spans="1:7">
      <c r="B21" s="62" t="s">
        <v>258</v>
      </c>
      <c r="E21" s="16"/>
    </row>
    <row r="22" spans="1:7">
      <c r="B22" s="155"/>
      <c r="C22" s="62" t="s">
        <v>265</v>
      </c>
      <c r="D22" s="250">
        <f>Enrollment!K13</f>
        <v>2903.7668198913498</v>
      </c>
      <c r="E22" s="16">
        <f>D22*'Fee Breakdown'!E11</f>
        <v>66786.636857501042</v>
      </c>
    </row>
    <row r="23" spans="1:7">
      <c r="B23" s="155"/>
      <c r="C23" s="62" t="s">
        <v>266</v>
      </c>
      <c r="D23" s="250">
        <f>Enrollment!K14</f>
        <v>1780.2331801086502</v>
      </c>
      <c r="E23" s="17">
        <f>D23*'Fee Breakdown'!G11</f>
        <v>28483.730881738404</v>
      </c>
    </row>
    <row r="24" spans="1:7">
      <c r="C24" s="155" t="s">
        <v>261</v>
      </c>
      <c r="E24" s="18">
        <f>SUM(E22:E23)</f>
        <v>95270.367739239446</v>
      </c>
    </row>
    <row r="25" spans="1:7">
      <c r="B25" s="62" t="s">
        <v>262</v>
      </c>
      <c r="E25" s="16"/>
    </row>
    <row r="26" spans="1:7">
      <c r="B26" s="155"/>
      <c r="C26" s="62" t="s">
        <v>265</v>
      </c>
      <c r="D26" s="250">
        <f>Enrollment!K18</f>
        <v>2906.5385525070956</v>
      </c>
      <c r="E26" s="16">
        <f>D26*'Fee Breakdown'!E11</f>
        <v>66850.386707663201</v>
      </c>
    </row>
    <row r="27" spans="1:7">
      <c r="B27" s="155"/>
      <c r="C27" s="62" t="s">
        <v>266</v>
      </c>
      <c r="D27" s="250">
        <f>Enrollment!K19</f>
        <v>1280.4614474929047</v>
      </c>
      <c r="E27" s="17">
        <f>D27*'Fee Breakdown'!G11</f>
        <v>20487.383159886474</v>
      </c>
    </row>
    <row r="28" spans="1:7">
      <c r="E28" s="18">
        <f>SUM(E26:E27)</f>
        <v>87337.769867549679</v>
      </c>
    </row>
    <row r="29" spans="1:7">
      <c r="B29" s="142" t="s">
        <v>267</v>
      </c>
      <c r="C29" s="142"/>
      <c r="D29" s="251"/>
      <c r="E29" s="19">
        <f>E24+E28</f>
        <v>182608.13760678913</v>
      </c>
      <c r="G29" s="80">
        <f>E29*30%</f>
        <v>54782.441282036736</v>
      </c>
    </row>
    <row r="30" spans="1:7">
      <c r="E30" s="16"/>
    </row>
    <row r="31" spans="1:7">
      <c r="A31" s="7" t="s">
        <v>268</v>
      </c>
      <c r="E31" s="16"/>
    </row>
    <row r="32" spans="1:7">
      <c r="B32" s="62" t="s">
        <v>258</v>
      </c>
      <c r="E32" s="16"/>
    </row>
    <row r="33" spans="1:7">
      <c r="C33" s="62" t="s">
        <v>269</v>
      </c>
      <c r="D33" s="250">
        <f>Enrollment!K13</f>
        <v>2903.7668198913498</v>
      </c>
      <c r="E33" s="16">
        <f>D33*'Fee Breakdown'!E12</f>
        <v>14518.834099456748</v>
      </c>
    </row>
    <row r="34" spans="1:7">
      <c r="C34" s="62" t="s">
        <v>270</v>
      </c>
      <c r="D34" s="250">
        <f>Enrollment!K14</f>
        <v>1780.2331801086502</v>
      </c>
      <c r="E34" s="17">
        <f>D34*'Fee Breakdown'!G12</f>
        <v>8901.1659005432521</v>
      </c>
    </row>
    <row r="35" spans="1:7">
      <c r="E35" s="18">
        <f>SUM(E33:E34)</f>
        <v>23420</v>
      </c>
    </row>
    <row r="36" spans="1:7">
      <c r="B36" s="62" t="s">
        <v>262</v>
      </c>
      <c r="E36" s="16"/>
    </row>
    <row r="37" spans="1:7">
      <c r="B37" s="155"/>
      <c r="C37" s="62" t="s">
        <v>269</v>
      </c>
      <c r="D37" s="250">
        <f>Enrollment!K18</f>
        <v>2906.5385525070956</v>
      </c>
      <c r="E37" s="16">
        <f>D37*'Fee Breakdown'!E12</f>
        <v>14532.692762535478</v>
      </c>
    </row>
    <row r="38" spans="1:7">
      <c r="B38" s="155"/>
      <c r="C38" s="62" t="s">
        <v>270</v>
      </c>
      <c r="D38" s="250">
        <f>Enrollment!K19</f>
        <v>1280.4614474929047</v>
      </c>
      <c r="E38" s="17">
        <f>D38*'Fee Breakdown'!G12</f>
        <v>6402.3072374645235</v>
      </c>
    </row>
    <row r="39" spans="1:7">
      <c r="E39" s="18">
        <f>SUM(E37:E38)</f>
        <v>20935</v>
      </c>
    </row>
    <row r="40" spans="1:7">
      <c r="B40" s="142" t="s">
        <v>271</v>
      </c>
      <c r="C40" s="142"/>
      <c r="D40" s="251"/>
      <c r="E40" s="19">
        <f>E35+E39</f>
        <v>44355</v>
      </c>
      <c r="G40" s="80">
        <f>E40*30%</f>
        <v>13306.5</v>
      </c>
    </row>
    <row r="41" spans="1:7">
      <c r="A41" s="7"/>
      <c r="B41" s="7"/>
      <c r="C41" s="7"/>
      <c r="D41" s="11"/>
      <c r="E41" s="15"/>
    </row>
    <row r="42" spans="1:7">
      <c r="A42" s="7"/>
      <c r="B42" s="7"/>
      <c r="C42" s="7"/>
      <c r="D42" s="11"/>
      <c r="E42" s="15"/>
    </row>
    <row r="43" spans="1:7">
      <c r="A43" s="7" t="s">
        <v>272</v>
      </c>
      <c r="E43" s="16"/>
    </row>
    <row r="44" spans="1:7">
      <c r="B44" s="62" t="s">
        <v>258</v>
      </c>
      <c r="E44" s="16"/>
    </row>
    <row r="45" spans="1:7">
      <c r="C45" s="62" t="s">
        <v>273</v>
      </c>
      <c r="D45" s="250">
        <f>Enrollment!K13</f>
        <v>2903.7668198913498</v>
      </c>
      <c r="E45" s="16">
        <f>D45*'Fee Breakdown'!E13</f>
        <v>11615.067279565399</v>
      </c>
    </row>
    <row r="46" spans="1:7">
      <c r="C46" s="62" t="s">
        <v>274</v>
      </c>
      <c r="D46" s="250">
        <f>Enrollment!K14</f>
        <v>1780.2331801086502</v>
      </c>
      <c r="E46" s="17">
        <f>D46*'Fee Breakdown'!G13</f>
        <v>5340.6995403259507</v>
      </c>
    </row>
    <row r="47" spans="1:7">
      <c r="E47" s="18">
        <f>SUM(E45:E46)</f>
        <v>16955.766819891349</v>
      </c>
    </row>
    <row r="48" spans="1:7">
      <c r="B48" s="62" t="s">
        <v>262</v>
      </c>
      <c r="E48" s="16"/>
    </row>
    <row r="49" spans="1:7">
      <c r="B49" s="155"/>
      <c r="C49" s="62" t="s">
        <v>273</v>
      </c>
      <c r="D49" s="250">
        <f>Enrollment!K18</f>
        <v>2906.5385525070956</v>
      </c>
      <c r="E49" s="16">
        <f>D49*'Fee Breakdown'!E13</f>
        <v>11626.154210028382</v>
      </c>
    </row>
    <row r="50" spans="1:7">
      <c r="B50" s="155"/>
      <c r="C50" s="62" t="s">
        <v>274</v>
      </c>
      <c r="D50" s="250">
        <f>Enrollment!K19</f>
        <v>1280.4614474929047</v>
      </c>
      <c r="E50" s="17">
        <f>D50*'Fee Breakdown'!G13</f>
        <v>3841.3843424787137</v>
      </c>
    </row>
    <row r="51" spans="1:7">
      <c r="E51" s="17">
        <f>SUM(E49:E50)</f>
        <v>15467.538552507096</v>
      </c>
    </row>
    <row r="52" spans="1:7" ht="21" customHeight="1">
      <c r="B52" s="7" t="s">
        <v>275</v>
      </c>
      <c r="C52" s="142"/>
      <c r="D52" s="251"/>
      <c r="E52" s="19">
        <f>E47+E51</f>
        <v>32423.305372398445</v>
      </c>
      <c r="G52" s="80">
        <f>E52*30%</f>
        <v>9726.9916117195335</v>
      </c>
    </row>
    <row r="53" spans="1:7">
      <c r="A53" s="7"/>
      <c r="B53" s="7"/>
      <c r="C53" s="7"/>
      <c r="D53" s="11"/>
      <c r="E53" s="15"/>
    </row>
    <row r="54" spans="1:7">
      <c r="A54" s="7"/>
      <c r="B54" s="7"/>
      <c r="C54" s="7"/>
      <c r="D54" s="11"/>
      <c r="E54" s="15"/>
    </row>
    <row r="55" spans="1:7">
      <c r="A55" s="7" t="s">
        <v>276</v>
      </c>
      <c r="E55" s="16"/>
    </row>
    <row r="56" spans="1:7">
      <c r="B56" s="62" t="s">
        <v>258</v>
      </c>
      <c r="E56" s="16"/>
    </row>
    <row r="57" spans="1:7">
      <c r="C57" s="62" t="s">
        <v>277</v>
      </c>
      <c r="D57" s="250">
        <f>Enrollment!K13</f>
        <v>2903.7668198913498</v>
      </c>
      <c r="E57" s="16">
        <f>D57*'Fee Breakdown'!E14</f>
        <v>8711.3004596740502</v>
      </c>
    </row>
    <row r="58" spans="1:7">
      <c r="C58" s="62" t="s">
        <v>274</v>
      </c>
      <c r="D58" s="250">
        <f>Enrollment!K14</f>
        <v>1780.2331801086502</v>
      </c>
      <c r="E58" s="17">
        <f>D58*'Fee Breakdown'!G14</f>
        <v>5340.6995403259507</v>
      </c>
    </row>
    <row r="59" spans="1:7">
      <c r="E59" s="18">
        <f>SUM(E57:E58)</f>
        <v>14052</v>
      </c>
    </row>
    <row r="60" spans="1:7">
      <c r="B60" s="62" t="s">
        <v>262</v>
      </c>
      <c r="E60" s="16"/>
    </row>
    <row r="61" spans="1:7">
      <c r="B61" s="155"/>
      <c r="C61" s="62" t="s">
        <v>277</v>
      </c>
      <c r="D61" s="250">
        <f>Enrollment!K18</f>
        <v>2906.5385525070956</v>
      </c>
      <c r="E61" s="16">
        <f>D61*'Fee Breakdown'!E14</f>
        <v>8719.6156575212863</v>
      </c>
    </row>
    <row r="62" spans="1:7">
      <c r="B62" s="155"/>
      <c r="C62" s="62" t="s">
        <v>274</v>
      </c>
      <c r="D62" s="250">
        <f>Enrollment!K19</f>
        <v>1280.4614474929047</v>
      </c>
      <c r="E62" s="17">
        <f>D62*'Fee Breakdown'!G14</f>
        <v>3841.3843424787137</v>
      </c>
    </row>
    <row r="63" spans="1:7">
      <c r="E63" s="17">
        <f>SUM(E61:E62)</f>
        <v>12561</v>
      </c>
    </row>
    <row r="64" spans="1:7" ht="21" customHeight="1">
      <c r="B64" s="7" t="s">
        <v>278</v>
      </c>
      <c r="C64" s="142"/>
      <c r="D64" s="251"/>
      <c r="E64" s="19">
        <f>E59+E63</f>
        <v>26613</v>
      </c>
      <c r="G64" s="80">
        <f>E64*30%</f>
        <v>7983.9</v>
      </c>
    </row>
    <row r="65" spans="1:10">
      <c r="A65" s="7"/>
      <c r="B65" s="7"/>
      <c r="C65" s="7"/>
      <c r="D65" s="11"/>
      <c r="E65" s="15"/>
    </row>
    <row r="66" spans="1:10">
      <c r="A66" s="7" t="s">
        <v>279</v>
      </c>
      <c r="E66" s="16"/>
    </row>
    <row r="67" spans="1:10">
      <c r="B67" s="62" t="s">
        <v>258</v>
      </c>
      <c r="E67" s="16"/>
    </row>
    <row r="68" spans="1:10">
      <c r="C68" s="62" t="s">
        <v>273</v>
      </c>
      <c r="D68" s="250">
        <f>Enrollment!K13</f>
        <v>2903.7668198913498</v>
      </c>
      <c r="E68" s="16">
        <f>D68*'Fee Breakdown'!E15</f>
        <v>11615.067279565399</v>
      </c>
      <c r="J68" s="114"/>
    </row>
    <row r="69" spans="1:10">
      <c r="C69" s="62" t="s">
        <v>280</v>
      </c>
      <c r="D69" s="250">
        <f>Enrollment!K14</f>
        <v>1780.2331801086502</v>
      </c>
      <c r="E69" s="17">
        <f>D69*'Fee Breakdown'!G15</f>
        <v>7120.9327204346009</v>
      </c>
      <c r="J69" s="114"/>
    </row>
    <row r="70" spans="1:10">
      <c r="E70" s="18">
        <f>SUM(E68:E69)</f>
        <v>18736</v>
      </c>
      <c r="J70" s="114"/>
    </row>
    <row r="71" spans="1:10">
      <c r="B71" s="62" t="s">
        <v>262</v>
      </c>
      <c r="E71" s="16"/>
      <c r="J71" s="114"/>
    </row>
    <row r="72" spans="1:10">
      <c r="B72" s="155"/>
      <c r="C72" s="62" t="s">
        <v>273</v>
      </c>
      <c r="D72" s="250">
        <f>Enrollment!K18</f>
        <v>2906.5385525070956</v>
      </c>
      <c r="E72" s="16">
        <f>D72*'Fee Breakdown'!E15</f>
        <v>11626.154210028382</v>
      </c>
      <c r="J72" s="114"/>
    </row>
    <row r="73" spans="1:10">
      <c r="B73" s="155"/>
      <c r="C73" s="62" t="s">
        <v>280</v>
      </c>
      <c r="D73" s="250">
        <f>Enrollment!K19</f>
        <v>1280.4614474929047</v>
      </c>
      <c r="E73" s="17">
        <f>D73*'Fee Breakdown'!G15</f>
        <v>5121.8457899716186</v>
      </c>
      <c r="J73" s="114"/>
    </row>
    <row r="74" spans="1:10">
      <c r="E74" s="17">
        <f>SUM(E72:E73)</f>
        <v>16748</v>
      </c>
      <c r="J74" s="114"/>
    </row>
    <row r="75" spans="1:10" ht="21" customHeight="1">
      <c r="B75" s="7" t="s">
        <v>281</v>
      </c>
      <c r="C75" s="142"/>
      <c r="D75" s="251"/>
      <c r="E75" s="19">
        <f>E70+E74</f>
        <v>35484</v>
      </c>
      <c r="G75" s="132">
        <f>E75*30%</f>
        <v>10645.199999999999</v>
      </c>
      <c r="J75" s="114"/>
    </row>
    <row r="76" spans="1:10">
      <c r="A76" s="7"/>
      <c r="B76" s="7"/>
      <c r="C76" s="7"/>
      <c r="D76" s="11"/>
      <c r="E76" s="15"/>
      <c r="J76" s="114"/>
    </row>
    <row r="77" spans="1:10">
      <c r="A77" s="7" t="s">
        <v>282</v>
      </c>
      <c r="B77" s="7"/>
      <c r="C77" s="7"/>
      <c r="D77" s="11"/>
      <c r="E77" s="15"/>
      <c r="J77" s="114"/>
    </row>
    <row r="78" spans="1:10">
      <c r="B78" s="62" t="s">
        <v>258</v>
      </c>
      <c r="E78" s="16"/>
      <c r="J78" s="114"/>
    </row>
    <row r="79" spans="1:10">
      <c r="C79" s="62" t="s">
        <v>283</v>
      </c>
      <c r="D79" s="250">
        <f>Enrollment!K13</f>
        <v>2903.7668198913498</v>
      </c>
      <c r="E79" s="16">
        <f>D79*'Fee Breakdown'!E16</f>
        <v>5807.5336397826995</v>
      </c>
      <c r="J79" s="114"/>
    </row>
    <row r="80" spans="1:10">
      <c r="C80" s="62" t="s">
        <v>284</v>
      </c>
      <c r="D80" s="250">
        <f>Enrollment!K14</f>
        <v>1780.2331801086502</v>
      </c>
      <c r="E80" s="17">
        <f>D80*'Fee Breakdown'!G16</f>
        <v>3560.4663602173005</v>
      </c>
      <c r="J80" s="114"/>
    </row>
    <row r="81" spans="1:10">
      <c r="E81" s="18">
        <f>SUM(E79:E80)</f>
        <v>9368</v>
      </c>
      <c r="J81" s="114"/>
    </row>
    <row r="82" spans="1:10">
      <c r="B82" s="62" t="s">
        <v>262</v>
      </c>
      <c r="E82" s="16"/>
      <c r="J82" s="114"/>
    </row>
    <row r="83" spans="1:10">
      <c r="B83" s="155"/>
      <c r="C83" s="62" t="s">
        <v>283</v>
      </c>
      <c r="D83" s="250">
        <f>Enrollment!K18</f>
        <v>2906.5385525070956</v>
      </c>
      <c r="E83" s="16">
        <f>D83*'Fee Breakdown'!E16</f>
        <v>5813.0771050141911</v>
      </c>
      <c r="J83" s="114"/>
    </row>
    <row r="84" spans="1:10">
      <c r="B84" s="155"/>
      <c r="C84" s="62" t="s">
        <v>284</v>
      </c>
      <c r="D84" s="250">
        <f>Enrollment!K19</f>
        <v>1280.4614474929047</v>
      </c>
      <c r="E84" s="17">
        <f>D84*'Fee Breakdown'!G16</f>
        <v>2560.9228949858093</v>
      </c>
      <c r="J84" s="114"/>
    </row>
    <row r="85" spans="1:10">
      <c r="E85" s="16">
        <f>SUM(E83:E84)</f>
        <v>8374</v>
      </c>
      <c r="J85" s="114"/>
    </row>
    <row r="86" spans="1:10">
      <c r="A86" s="7"/>
      <c r="B86" s="7" t="s">
        <v>285</v>
      </c>
      <c r="C86" s="7"/>
      <c r="D86" s="11"/>
      <c r="E86" s="19">
        <f>E81+E85</f>
        <v>17742</v>
      </c>
      <c r="G86" s="80">
        <f>E86*30%</f>
        <v>5322.5999999999995</v>
      </c>
      <c r="J86" s="114"/>
    </row>
    <row r="87" spans="1:10">
      <c r="E87" s="16"/>
      <c r="J87" s="114"/>
    </row>
    <row r="88" spans="1:10">
      <c r="A88" s="7" t="s">
        <v>286</v>
      </c>
      <c r="B88" s="7"/>
      <c r="C88" s="7"/>
      <c r="D88" s="11"/>
      <c r="E88" s="15"/>
      <c r="J88" s="114"/>
    </row>
    <row r="89" spans="1:10">
      <c r="B89" s="62" t="s">
        <v>258</v>
      </c>
      <c r="E89" s="16"/>
      <c r="J89" s="114"/>
    </row>
    <row r="90" spans="1:10">
      <c r="C90" s="62" t="s">
        <v>287</v>
      </c>
      <c r="D90" s="250">
        <f>Enrollment!$K$13</f>
        <v>2903.7668198913498</v>
      </c>
      <c r="E90" s="16">
        <f>D90*'Fee Breakdown'!E17</f>
        <v>17422.6009193481</v>
      </c>
      <c r="J90" s="114"/>
    </row>
    <row r="91" spans="1:10">
      <c r="C91" s="62" t="s">
        <v>288</v>
      </c>
      <c r="D91" s="250">
        <f>Enrollment!$K$14</f>
        <v>1780.2331801086502</v>
      </c>
      <c r="E91" s="17">
        <f>D91*'Fee Breakdown'!G17</f>
        <v>10681.399080651901</v>
      </c>
      <c r="J91" s="114"/>
    </row>
    <row r="92" spans="1:10">
      <c r="E92" s="18">
        <f>SUM(E90:E91)</f>
        <v>28104</v>
      </c>
      <c r="J92" s="114"/>
    </row>
    <row r="93" spans="1:10">
      <c r="B93" s="62" t="s">
        <v>262</v>
      </c>
      <c r="E93" s="16"/>
      <c r="J93" s="114"/>
    </row>
    <row r="94" spans="1:10">
      <c r="B94" s="155"/>
      <c r="C94" s="62" t="s">
        <v>287</v>
      </c>
      <c r="D94" s="250">
        <f>Enrollment!$K$18</f>
        <v>2906.5385525070956</v>
      </c>
      <c r="E94" s="16">
        <f>D94*'Fee Breakdown'!E17</f>
        <v>17439.231315042573</v>
      </c>
      <c r="J94" s="114"/>
    </row>
    <row r="95" spans="1:10">
      <c r="B95" s="155"/>
      <c r="C95" s="62" t="s">
        <v>288</v>
      </c>
      <c r="D95" s="250">
        <f>Enrollment!$K$19</f>
        <v>1280.4614474929047</v>
      </c>
      <c r="E95" s="17">
        <f>D95*'Fee Breakdown'!G17</f>
        <v>7682.7686849574275</v>
      </c>
      <c r="J95" s="114"/>
    </row>
    <row r="96" spans="1:10">
      <c r="E96" s="16">
        <f>SUM(E94:E95)</f>
        <v>25122</v>
      </c>
      <c r="J96" s="114"/>
    </row>
    <row r="97" spans="1:10">
      <c r="A97" s="7"/>
      <c r="B97" s="7" t="s">
        <v>289</v>
      </c>
      <c r="C97" s="7"/>
      <c r="D97" s="11"/>
      <c r="E97" s="19">
        <f>E92+E96</f>
        <v>53226</v>
      </c>
      <c r="G97" s="80">
        <f>E97*30%</f>
        <v>15967.8</v>
      </c>
      <c r="J97" s="114"/>
    </row>
    <row r="98" spans="1:10">
      <c r="E98" s="16"/>
      <c r="J98" s="114"/>
    </row>
    <row r="99" spans="1:10">
      <c r="E99" s="16"/>
      <c r="J99" s="114"/>
    </row>
    <row r="100" spans="1:10">
      <c r="A100" s="7" t="s">
        <v>290</v>
      </c>
      <c r="B100" s="7"/>
      <c r="C100" s="7"/>
      <c r="D100" s="11"/>
      <c r="E100" s="15"/>
      <c r="J100" s="114"/>
    </row>
    <row r="101" spans="1:10">
      <c r="B101" s="62" t="s">
        <v>258</v>
      </c>
      <c r="E101" s="16"/>
      <c r="J101" s="114"/>
    </row>
    <row r="102" spans="1:10">
      <c r="C102" s="62" t="s">
        <v>273</v>
      </c>
      <c r="D102" s="250">
        <f>Enrollment!$K$13</f>
        <v>2903.7668198913498</v>
      </c>
      <c r="E102" s="16">
        <f>D102*'Fee Breakdown'!E18</f>
        <v>11615.067279565399</v>
      </c>
      <c r="J102" s="114"/>
    </row>
    <row r="103" spans="1:10">
      <c r="C103" s="62" t="s">
        <v>284</v>
      </c>
      <c r="D103" s="250">
        <f>Enrollment!$K$14</f>
        <v>1780.2331801086502</v>
      </c>
      <c r="E103" s="17">
        <f>D103*'Fee Breakdown'!G18</f>
        <v>3560.4663602173005</v>
      </c>
      <c r="J103" s="114"/>
    </row>
    <row r="104" spans="1:10">
      <c r="E104" s="18">
        <f>SUM(E102:E103)</f>
        <v>15175.5336397827</v>
      </c>
      <c r="J104" s="114"/>
    </row>
    <row r="105" spans="1:10">
      <c r="B105" s="62" t="s">
        <v>262</v>
      </c>
      <c r="E105" s="16"/>
      <c r="J105" s="114"/>
    </row>
    <row r="106" spans="1:10">
      <c r="B106" s="155"/>
      <c r="C106" s="62" t="s">
        <v>273</v>
      </c>
      <c r="D106" s="250">
        <f>Enrollment!$K$18</f>
        <v>2906.5385525070956</v>
      </c>
      <c r="E106" s="16">
        <f>D106*'Fee Breakdown'!E18</f>
        <v>11626.154210028382</v>
      </c>
      <c r="J106" s="114"/>
    </row>
    <row r="107" spans="1:10">
      <c r="B107" s="155"/>
      <c r="C107" s="62" t="s">
        <v>284</v>
      </c>
      <c r="D107" s="250">
        <f>Enrollment!$K$19</f>
        <v>1280.4614474929047</v>
      </c>
      <c r="E107" s="17">
        <f>D107*'Fee Breakdown'!G18</f>
        <v>2560.9228949858093</v>
      </c>
      <c r="J107" s="114"/>
    </row>
    <row r="108" spans="1:10">
      <c r="E108" s="18">
        <f>SUM(E106:E107)</f>
        <v>14187.077105014192</v>
      </c>
      <c r="J108" s="114"/>
    </row>
    <row r="109" spans="1:10">
      <c r="B109" s="7" t="s">
        <v>291</v>
      </c>
      <c r="E109" s="19">
        <f>E104+E108</f>
        <v>29362.61074479689</v>
      </c>
      <c r="G109" s="80">
        <f>E109*30%</f>
        <v>8808.7832234390662</v>
      </c>
      <c r="J109" s="114"/>
    </row>
    <row r="110" spans="1:10" ht="24.75" customHeight="1">
      <c r="B110" s="7" t="s">
        <v>292</v>
      </c>
      <c r="E110" s="252">
        <f>+E109+E97+E86+E75+E64+E52+E40+E29+E18</f>
        <v>600578.75744796894</v>
      </c>
      <c r="G110" s="80">
        <f>E110*30%</f>
        <v>180173.62723439067</v>
      </c>
      <c r="J110" s="114"/>
    </row>
  </sheetData>
  <pageMargins left="0.7" right="0.7" top="0.75" bottom="0.75" header="0.3" footer="0.3"/>
  <pageSetup orientation="portrait" r:id="rId1"/>
  <rowBreaks count="1" manualBreakCount="1">
    <brk id="4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K29"/>
  <sheetViews>
    <sheetView zoomScale="110" zoomScaleNormal="110" workbookViewId="0">
      <selection activeCell="T15" sqref="T15"/>
    </sheetView>
  </sheetViews>
  <sheetFormatPr defaultColWidth="9.140625" defaultRowHeight="15"/>
  <cols>
    <col min="1" max="1" width="25.85546875" style="62" customWidth="1"/>
    <col min="2" max="2" width="2.7109375" style="62" customWidth="1"/>
    <col min="3" max="3" width="13.28515625" style="62" hidden="1" customWidth="1"/>
    <col min="4" max="4" width="2.7109375" style="62" hidden="1" customWidth="1"/>
    <col min="5" max="5" width="0" style="62" hidden="1" customWidth="1"/>
    <col min="6" max="6" width="2.7109375" style="62" hidden="1" customWidth="1"/>
    <col min="7" max="7" width="16.5703125" style="62" hidden="1" customWidth="1"/>
    <col min="8" max="8" width="0" style="193" hidden="1" customWidth="1"/>
    <col min="9" max="11" width="16.5703125" style="62" bestFit="1" customWidth="1"/>
    <col min="12" max="16384" width="9.140625" style="62"/>
  </cols>
  <sheetData>
    <row r="1" spans="1:11" s="94" customFormat="1">
      <c r="A1" s="261" t="s">
        <v>232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s="94" customFormat="1">
      <c r="A2" s="261" t="s">
        <v>293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</row>
    <row r="3" spans="1:11" s="94" customFormat="1" ht="14.45" customHeight="1">
      <c r="A3" s="262" t="s">
        <v>294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</row>
    <row r="6" spans="1:11">
      <c r="C6" s="258" t="s">
        <v>295</v>
      </c>
      <c r="D6" s="258"/>
      <c r="E6" s="258"/>
      <c r="F6" s="258"/>
      <c r="G6" s="258"/>
      <c r="H6" s="258"/>
      <c r="I6" s="258"/>
      <c r="J6" s="258"/>
      <c r="K6" s="258"/>
    </row>
    <row r="7" spans="1:11">
      <c r="C7" s="191" t="s">
        <v>296</v>
      </c>
      <c r="D7" s="191"/>
      <c r="E7" s="192"/>
      <c r="F7" s="191"/>
      <c r="G7" s="191" t="s">
        <v>297</v>
      </c>
      <c r="I7" s="191" t="s">
        <v>298</v>
      </c>
      <c r="J7" s="191" t="s">
        <v>299</v>
      </c>
      <c r="K7" s="191" t="s">
        <v>300</v>
      </c>
    </row>
    <row r="8" spans="1:11">
      <c r="C8" s="66"/>
      <c r="D8" s="66"/>
      <c r="E8" s="66"/>
      <c r="F8" s="66"/>
      <c r="G8" s="66"/>
      <c r="I8" s="66"/>
      <c r="J8" s="66"/>
      <c r="K8" s="66"/>
    </row>
    <row r="9" spans="1:11" ht="18" customHeight="1">
      <c r="A9" s="86" t="s">
        <v>301</v>
      </c>
      <c r="B9" s="64"/>
      <c r="C9" s="194">
        <v>2260</v>
      </c>
      <c r="D9" s="195"/>
      <c r="E9" s="194"/>
      <c r="F9" s="195"/>
      <c r="G9" s="194">
        <f>+C9*75%</f>
        <v>1695</v>
      </c>
      <c r="H9" s="193" t="e">
        <f>E9/#REF!</f>
        <v>#REF!</v>
      </c>
      <c r="I9" s="194">
        <v>1580</v>
      </c>
      <c r="J9" s="194">
        <f>I9*85%</f>
        <v>1343</v>
      </c>
      <c r="K9" s="194">
        <v>1450</v>
      </c>
    </row>
    <row r="10" spans="1:11" ht="18" customHeight="1">
      <c r="A10" s="196" t="s">
        <v>302</v>
      </c>
      <c r="B10" s="64"/>
      <c r="C10" s="197">
        <f>+C9</f>
        <v>2260</v>
      </c>
      <c r="D10" s="197"/>
      <c r="E10" s="197"/>
      <c r="F10" s="197"/>
      <c r="G10" s="197">
        <f>+G9</f>
        <v>1695</v>
      </c>
      <c r="I10" s="197">
        <f>+I9</f>
        <v>1580</v>
      </c>
      <c r="J10" s="197">
        <f>+J9</f>
        <v>1343</v>
      </c>
      <c r="K10" s="197">
        <f>+K9</f>
        <v>1450</v>
      </c>
    </row>
    <row r="11" spans="1:11" ht="18" customHeight="1">
      <c r="A11" s="64"/>
      <c r="B11" s="64"/>
      <c r="C11" s="194"/>
      <c r="D11" s="195"/>
      <c r="E11" s="194"/>
      <c r="F11" s="195"/>
      <c r="G11" s="194"/>
      <c r="I11" s="194"/>
      <c r="J11" s="194"/>
      <c r="K11" s="194"/>
    </row>
    <row r="12" spans="1:11" ht="18" customHeight="1">
      <c r="A12" s="198" t="s">
        <v>303</v>
      </c>
      <c r="B12" s="199"/>
      <c r="C12" s="194"/>
      <c r="D12" s="195"/>
      <c r="E12" s="194"/>
      <c r="F12" s="195"/>
      <c r="G12" s="194"/>
      <c r="H12" s="193" t="e">
        <f>E12/#REF!</f>
        <v>#REF!</v>
      </c>
      <c r="I12" s="194"/>
      <c r="J12" s="194"/>
      <c r="K12" s="194"/>
    </row>
    <row r="13" spans="1:11" ht="18" customHeight="1">
      <c r="A13" s="155" t="s">
        <v>304</v>
      </c>
      <c r="B13" s="64"/>
      <c r="C13" s="194">
        <v>5081</v>
      </c>
      <c r="D13" s="195"/>
      <c r="E13" s="194"/>
      <c r="F13" s="195"/>
      <c r="G13" s="194">
        <f t="shared" ref="G13:G14" si="0">+C13*75%</f>
        <v>3810.75</v>
      </c>
      <c r="I13" s="194">
        <v>2967</v>
      </c>
      <c r="J13" s="194">
        <f t="shared" ref="J13:J14" si="1">I13*85%</f>
        <v>2521.9499999999998</v>
      </c>
      <c r="K13" s="194">
        <v>2903.7668198913498</v>
      </c>
    </row>
    <row r="14" spans="1:11" ht="18" customHeight="1">
      <c r="A14" s="155" t="s">
        <v>305</v>
      </c>
      <c r="B14" s="64"/>
      <c r="C14" s="194">
        <v>1510</v>
      </c>
      <c r="D14" s="195"/>
      <c r="E14" s="194"/>
      <c r="F14" s="195"/>
      <c r="G14" s="194">
        <f t="shared" si="0"/>
        <v>1132.5</v>
      </c>
      <c r="I14" s="194">
        <v>1819</v>
      </c>
      <c r="J14" s="194">
        <f t="shared" si="1"/>
        <v>1546.1499999999999</v>
      </c>
      <c r="K14" s="194">
        <v>1780.2331801086502</v>
      </c>
    </row>
    <row r="15" spans="1:11" ht="18" customHeight="1">
      <c r="A15" s="196" t="s">
        <v>218</v>
      </c>
      <c r="B15" s="64"/>
      <c r="C15" s="197">
        <f>SUM(C13:C14)</f>
        <v>6591</v>
      </c>
      <c r="D15" s="197"/>
      <c r="E15" s="197"/>
      <c r="F15" s="197"/>
      <c r="G15" s="197">
        <f>SUM(G13:G14)</f>
        <v>4943.25</v>
      </c>
      <c r="I15" s="257">
        <f>SUM(I13:I14)</f>
        <v>4786</v>
      </c>
      <c r="J15" s="197">
        <f>SUM(J13:J14)</f>
        <v>4068.0999999999995</v>
      </c>
      <c r="K15" s="197">
        <f>SUM(K13:K14)</f>
        <v>4684</v>
      </c>
    </row>
    <row r="16" spans="1:11" ht="18" customHeight="1">
      <c r="A16" s="155"/>
      <c r="B16" s="64"/>
      <c r="C16" s="194"/>
      <c r="D16" s="195"/>
      <c r="E16" s="194"/>
      <c r="F16" s="195"/>
      <c r="G16" s="194"/>
      <c r="I16" s="194"/>
      <c r="J16" s="194"/>
      <c r="K16" s="194"/>
    </row>
    <row r="17" spans="1:11" ht="18" customHeight="1">
      <c r="A17" s="86" t="s">
        <v>306</v>
      </c>
      <c r="B17" s="64"/>
      <c r="C17" s="194"/>
      <c r="D17" s="195"/>
      <c r="E17" s="194"/>
      <c r="F17" s="195"/>
      <c r="G17" s="194"/>
      <c r="H17" s="193" t="e">
        <f>E17/#REF!</f>
        <v>#REF!</v>
      </c>
      <c r="I17" s="194"/>
      <c r="J17" s="194"/>
      <c r="K17" s="194"/>
    </row>
    <row r="18" spans="1:11" ht="18" customHeight="1">
      <c r="A18" s="155" t="s">
        <v>304</v>
      </c>
      <c r="B18" s="64"/>
      <c r="C18" s="194">
        <v>3579</v>
      </c>
      <c r="D18" s="195"/>
      <c r="E18" s="194"/>
      <c r="F18" s="195"/>
      <c r="G18" s="194">
        <f t="shared" ref="G18:G19" si="2">+C18*75%</f>
        <v>2684.25</v>
      </c>
      <c r="I18" s="194">
        <v>2935</v>
      </c>
      <c r="J18" s="194">
        <f t="shared" ref="J18:J19" si="3">I18*85%</f>
        <v>2494.75</v>
      </c>
      <c r="K18" s="194">
        <v>2906.5385525070956</v>
      </c>
    </row>
    <row r="19" spans="1:11" ht="18" customHeight="1">
      <c r="A19" s="155" t="s">
        <v>305</v>
      </c>
      <c r="B19" s="64"/>
      <c r="C19" s="194">
        <v>2102</v>
      </c>
      <c r="D19" s="195"/>
      <c r="E19" s="194"/>
      <c r="F19" s="195"/>
      <c r="G19" s="194">
        <f t="shared" si="2"/>
        <v>1576.5</v>
      </c>
      <c r="I19" s="194">
        <v>1293</v>
      </c>
      <c r="J19" s="194">
        <f t="shared" si="3"/>
        <v>1099.05</v>
      </c>
      <c r="K19" s="194">
        <v>1280.4614474929047</v>
      </c>
    </row>
    <row r="20" spans="1:11" ht="18" customHeight="1">
      <c r="A20" s="149" t="s">
        <v>219</v>
      </c>
      <c r="B20" s="149"/>
      <c r="C20" s="200">
        <f>SUM(C18:C19)</f>
        <v>5681</v>
      </c>
      <c r="D20" s="201"/>
      <c r="E20" s="201"/>
      <c r="F20" s="201"/>
      <c r="G20" s="197">
        <f>SUM(G18:G19)</f>
        <v>4260.75</v>
      </c>
      <c r="I20" s="197">
        <f>SUM(I18:I19)</f>
        <v>4228</v>
      </c>
      <c r="J20" s="197">
        <f>SUM(J18:J19)</f>
        <v>3593.8</v>
      </c>
      <c r="K20" s="197">
        <f>SUM(K18:K19)</f>
        <v>4187</v>
      </c>
    </row>
    <row r="21" spans="1:11">
      <c r="C21" s="114"/>
      <c r="D21" s="202"/>
      <c r="E21" s="114"/>
      <c r="F21" s="202"/>
      <c r="G21" s="114"/>
      <c r="I21" s="114"/>
      <c r="J21" s="114"/>
      <c r="K21" s="114"/>
    </row>
    <row r="22" spans="1:11">
      <c r="C22" s="114"/>
      <c r="D22" s="202"/>
      <c r="E22" s="114"/>
      <c r="F22" s="202"/>
      <c r="G22" s="114"/>
      <c r="I22" s="114"/>
      <c r="J22" s="114"/>
      <c r="K22" s="114"/>
    </row>
    <row r="23" spans="1:11">
      <c r="C23" s="114"/>
      <c r="D23" s="202"/>
      <c r="E23" s="114"/>
      <c r="F23" s="202"/>
      <c r="G23" s="114"/>
      <c r="I23" s="114"/>
      <c r="J23" s="114"/>
      <c r="K23" s="114"/>
    </row>
    <row r="24" spans="1:11">
      <c r="C24" s="114"/>
      <c r="D24" s="202"/>
      <c r="E24" s="114"/>
      <c r="F24" s="202"/>
      <c r="G24" s="114"/>
      <c r="I24" s="114"/>
      <c r="J24" s="114"/>
      <c r="K24" s="114"/>
    </row>
    <row r="25" spans="1:11">
      <c r="C25" s="114"/>
      <c r="D25" s="202"/>
      <c r="E25" s="114"/>
      <c r="F25" s="202"/>
      <c r="G25" s="114"/>
      <c r="I25" s="114"/>
      <c r="J25" s="114"/>
      <c r="K25" s="114"/>
    </row>
    <row r="26" spans="1:11">
      <c r="C26" s="114"/>
      <c r="D26" s="202"/>
      <c r="E26" s="114"/>
      <c r="F26" s="202"/>
      <c r="G26" s="114"/>
      <c r="I26" s="114"/>
      <c r="J26" s="114"/>
      <c r="K26" s="114"/>
    </row>
    <row r="27" spans="1:11">
      <c r="C27" s="114"/>
      <c r="D27" s="202"/>
      <c r="E27" s="114"/>
      <c r="F27" s="202"/>
      <c r="G27" s="114"/>
      <c r="I27" s="114"/>
      <c r="J27" s="114"/>
      <c r="K27" s="114"/>
    </row>
    <row r="28" spans="1:11">
      <c r="C28" s="114"/>
      <c r="D28" s="202"/>
      <c r="E28" s="114"/>
      <c r="F28" s="202"/>
      <c r="G28" s="114"/>
      <c r="I28" s="114"/>
      <c r="J28" s="114"/>
      <c r="K28" s="114"/>
    </row>
    <row r="29" spans="1:11">
      <c r="C29" s="114"/>
      <c r="D29" s="202"/>
      <c r="E29" s="114"/>
      <c r="F29" s="202"/>
      <c r="G29" s="114"/>
      <c r="I29" s="114"/>
      <c r="J29" s="114"/>
      <c r="K29" s="114"/>
    </row>
  </sheetData>
  <mergeCells count="4">
    <mergeCell ref="A1:K1"/>
    <mergeCell ref="A2:K2"/>
    <mergeCell ref="A3:K3"/>
    <mergeCell ref="C6:K6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H31"/>
  <sheetViews>
    <sheetView zoomScaleNormal="100" workbookViewId="0">
      <selection activeCell="X33" sqref="X33"/>
    </sheetView>
  </sheetViews>
  <sheetFormatPr defaultRowHeight="15"/>
  <cols>
    <col min="1" max="1" width="30.140625" bestFit="1" customWidth="1"/>
    <col min="2" max="2" width="2.7109375" customWidth="1"/>
    <col min="3" max="3" width="8.42578125" bestFit="1" customWidth="1"/>
    <col min="4" max="4" width="2.7109375" customWidth="1"/>
    <col min="6" max="6" width="2.7109375" customWidth="1"/>
    <col min="8" max="8" width="0" style="21" hidden="1" customWidth="1"/>
  </cols>
  <sheetData>
    <row r="1" spans="1:8">
      <c r="A1" s="263" t="s">
        <v>232</v>
      </c>
      <c r="B1" s="263"/>
      <c r="C1" s="263"/>
      <c r="D1" s="263"/>
      <c r="E1" s="263"/>
      <c r="F1" s="263"/>
      <c r="G1" s="263"/>
    </row>
    <row r="2" spans="1:8">
      <c r="A2" s="263" t="s">
        <v>307</v>
      </c>
      <c r="B2" s="263"/>
      <c r="C2" s="263"/>
      <c r="D2" s="263"/>
      <c r="E2" s="263"/>
      <c r="F2" s="263"/>
      <c r="G2" s="263"/>
    </row>
    <row r="3" spans="1:8">
      <c r="A3" s="263" t="s">
        <v>308</v>
      </c>
      <c r="B3" s="263"/>
      <c r="C3" s="263"/>
      <c r="D3" s="263"/>
      <c r="E3" s="263"/>
      <c r="F3" s="263"/>
      <c r="G3" s="263"/>
    </row>
    <row r="7" spans="1:8">
      <c r="C7" s="264" t="s">
        <v>295</v>
      </c>
      <c r="D7" s="264"/>
      <c r="E7" s="264"/>
      <c r="F7" s="264"/>
      <c r="G7" s="264"/>
    </row>
    <row r="8" spans="1:8">
      <c r="C8" s="22" t="s">
        <v>151</v>
      </c>
      <c r="D8" s="22"/>
      <c r="E8" s="22" t="s">
        <v>304</v>
      </c>
      <c r="F8" s="22"/>
      <c r="G8" s="22" t="s">
        <v>305</v>
      </c>
    </row>
    <row r="9" spans="1:8">
      <c r="A9" s="6" t="s">
        <v>235</v>
      </c>
      <c r="B9" s="6"/>
      <c r="C9" s="24"/>
      <c r="D9" s="25"/>
      <c r="E9" s="24"/>
      <c r="F9" s="25"/>
      <c r="G9" s="24"/>
    </row>
    <row r="10" spans="1:8" ht="18" customHeight="1">
      <c r="A10" s="3" t="s">
        <v>240</v>
      </c>
      <c r="B10" s="3"/>
      <c r="C10" s="26">
        <v>15</v>
      </c>
      <c r="D10" s="25"/>
      <c r="E10" s="26">
        <v>21.15</v>
      </c>
      <c r="F10" s="25"/>
      <c r="G10" s="26">
        <v>11.15</v>
      </c>
      <c r="H10" s="21">
        <f>E10/E19</f>
        <v>0.2931392931392931</v>
      </c>
    </row>
    <row r="11" spans="1:8" ht="18" customHeight="1">
      <c r="A11" s="3" t="s">
        <v>241</v>
      </c>
      <c r="B11" s="3"/>
      <c r="C11" s="24"/>
      <c r="D11" s="25"/>
      <c r="E11" s="24">
        <v>23</v>
      </c>
      <c r="F11" s="25"/>
      <c r="G11" s="24">
        <v>16</v>
      </c>
      <c r="H11" s="21">
        <f>E11/E19</f>
        <v>0.31878031878031876</v>
      </c>
    </row>
    <row r="12" spans="1:8" ht="18" customHeight="1">
      <c r="A12" s="23" t="s">
        <v>242</v>
      </c>
      <c r="B12" s="23"/>
      <c r="C12" s="24"/>
      <c r="D12" s="25"/>
      <c r="E12" s="24">
        <v>5</v>
      </c>
      <c r="F12" s="25"/>
      <c r="G12" s="24">
        <v>5</v>
      </c>
      <c r="H12" s="21">
        <f>E12/E19</f>
        <v>6.9300069300069295E-2</v>
      </c>
    </row>
    <row r="13" spans="1:8" ht="18" customHeight="1">
      <c r="A13" s="3" t="s">
        <v>243</v>
      </c>
      <c r="B13" s="3"/>
      <c r="C13" s="27"/>
      <c r="D13" s="28"/>
      <c r="E13" s="27">
        <v>4</v>
      </c>
      <c r="F13" s="28"/>
      <c r="G13" s="27">
        <v>3</v>
      </c>
      <c r="H13" s="21">
        <f>E13/E19</f>
        <v>5.5440055440055439E-2</v>
      </c>
    </row>
    <row r="14" spans="1:8" ht="18" customHeight="1">
      <c r="A14" s="23" t="s">
        <v>244</v>
      </c>
      <c r="B14" s="23"/>
      <c r="C14" s="24"/>
      <c r="D14" s="25"/>
      <c r="E14" s="24">
        <v>3</v>
      </c>
      <c r="F14" s="25"/>
      <c r="G14" s="24">
        <v>3</v>
      </c>
      <c r="H14" s="21">
        <f>E14/E19</f>
        <v>4.1580041580041575E-2</v>
      </c>
    </row>
    <row r="15" spans="1:8" ht="18" customHeight="1">
      <c r="A15" s="23" t="s">
        <v>245</v>
      </c>
      <c r="B15" s="23"/>
      <c r="C15" s="24"/>
      <c r="D15" s="25"/>
      <c r="E15" s="24">
        <v>4</v>
      </c>
      <c r="F15" s="25"/>
      <c r="G15" s="24">
        <v>4</v>
      </c>
      <c r="H15" s="21">
        <f>E15/E19</f>
        <v>5.5440055440055439E-2</v>
      </c>
    </row>
    <row r="16" spans="1:8" ht="18" customHeight="1">
      <c r="A16" s="23" t="s">
        <v>246</v>
      </c>
      <c r="B16" s="23"/>
      <c r="C16" s="24"/>
      <c r="D16" s="25"/>
      <c r="E16" s="24">
        <v>2</v>
      </c>
      <c r="F16" s="25"/>
      <c r="G16" s="24">
        <v>2</v>
      </c>
      <c r="H16" s="21">
        <f>E16/E19</f>
        <v>2.7720027720027719E-2</v>
      </c>
    </row>
    <row r="17" spans="1:8" ht="18" customHeight="1">
      <c r="A17" s="3" t="s">
        <v>247</v>
      </c>
      <c r="B17" s="3"/>
      <c r="C17" s="24"/>
      <c r="D17" s="25"/>
      <c r="E17" s="24">
        <v>6</v>
      </c>
      <c r="F17" s="25"/>
      <c r="G17" s="24">
        <v>6</v>
      </c>
      <c r="H17" s="21">
        <f>E17/E19</f>
        <v>8.3160083160083151E-2</v>
      </c>
    </row>
    <row r="18" spans="1:8" ht="18" customHeight="1">
      <c r="A18" s="23" t="s">
        <v>248</v>
      </c>
      <c r="B18" s="23"/>
      <c r="C18" s="24"/>
      <c r="D18" s="25"/>
      <c r="E18" s="24">
        <v>4</v>
      </c>
      <c r="F18" s="25"/>
      <c r="G18" s="24">
        <v>2</v>
      </c>
      <c r="H18" s="21">
        <f>E18/E19</f>
        <v>5.5440055440055439E-2</v>
      </c>
    </row>
    <row r="19" spans="1:8" ht="18" customHeight="1">
      <c r="A19" s="20" t="s">
        <v>249</v>
      </c>
      <c r="B19" s="20"/>
      <c r="C19" s="29">
        <f>SUM(C10:C18)</f>
        <v>15</v>
      </c>
      <c r="D19" s="25"/>
      <c r="E19" s="29">
        <f>SUM(E10:E18)</f>
        <v>72.150000000000006</v>
      </c>
      <c r="F19" s="25"/>
      <c r="G19" s="29">
        <f>SUM(G10:G18)</f>
        <v>52.15</v>
      </c>
      <c r="H19" s="21">
        <f>SUM(H10:H18)</f>
        <v>1</v>
      </c>
    </row>
    <row r="20" spans="1:8" ht="18" customHeight="1">
      <c r="A20" s="20" t="s">
        <v>309</v>
      </c>
      <c r="B20" s="20"/>
      <c r="C20" s="24">
        <v>1.45</v>
      </c>
      <c r="D20" s="25"/>
      <c r="E20" s="24">
        <v>1.45</v>
      </c>
      <c r="F20" s="25"/>
      <c r="G20" s="24">
        <v>1.45</v>
      </c>
    </row>
    <row r="21" spans="1:8" ht="18" customHeight="1">
      <c r="A21" s="20" t="s">
        <v>310</v>
      </c>
      <c r="B21" s="2"/>
      <c r="C21" s="30">
        <f>SUM(C19:C20)</f>
        <v>16.45</v>
      </c>
      <c r="D21" s="25"/>
      <c r="E21" s="30">
        <f>SUM(E19:E20)</f>
        <v>73.600000000000009</v>
      </c>
      <c r="F21" s="25"/>
      <c r="G21" s="30">
        <f>SUM(G19:G20)</f>
        <v>53.6</v>
      </c>
    </row>
    <row r="22" spans="1:8">
      <c r="A22" s="2"/>
      <c r="B22" s="2"/>
      <c r="C22" s="24"/>
      <c r="D22" s="25"/>
      <c r="E22" s="24"/>
      <c r="F22" s="25"/>
      <c r="G22" s="24"/>
    </row>
    <row r="23" spans="1:8">
      <c r="C23" s="24"/>
      <c r="D23" s="25"/>
      <c r="E23" s="24"/>
      <c r="F23" s="25"/>
      <c r="G23" s="24"/>
    </row>
    <row r="24" spans="1:8">
      <c r="C24" s="24"/>
      <c r="D24" s="25"/>
      <c r="E24" s="24"/>
      <c r="F24" s="25"/>
      <c r="G24" s="24"/>
    </row>
    <row r="25" spans="1:8">
      <c r="C25" s="24"/>
      <c r="D25" s="25"/>
      <c r="E25" s="24"/>
      <c r="F25" s="25"/>
      <c r="G25" s="24"/>
    </row>
    <row r="26" spans="1:8">
      <c r="C26" s="24"/>
      <c r="D26" s="25"/>
      <c r="E26" s="24"/>
      <c r="F26" s="25"/>
      <c r="G26" s="24"/>
    </row>
    <row r="27" spans="1:8">
      <c r="C27" s="24"/>
      <c r="D27" s="25"/>
      <c r="E27" s="24"/>
      <c r="F27" s="25"/>
      <c r="G27" s="24"/>
    </row>
    <row r="28" spans="1:8">
      <c r="C28" s="24"/>
      <c r="D28" s="25"/>
      <c r="E28" s="24"/>
      <c r="F28" s="25"/>
      <c r="G28" s="24"/>
    </row>
    <row r="29" spans="1:8">
      <c r="C29" s="24"/>
      <c r="D29" s="25"/>
      <c r="E29" s="24"/>
      <c r="F29" s="25"/>
      <c r="G29" s="24"/>
    </row>
    <row r="30" spans="1:8">
      <c r="C30" s="24"/>
      <c r="D30" s="25"/>
      <c r="E30" s="24"/>
      <c r="F30" s="25"/>
      <c r="G30" s="24"/>
    </row>
    <row r="31" spans="1:8">
      <c r="C31" s="24"/>
      <c r="D31" s="25"/>
      <c r="E31" s="24"/>
      <c r="F31" s="25"/>
      <c r="G31" s="24"/>
    </row>
  </sheetData>
  <mergeCells count="4">
    <mergeCell ref="A1:G1"/>
    <mergeCell ref="A2:G2"/>
    <mergeCell ref="A3:G3"/>
    <mergeCell ref="C7:G7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  <pageSetUpPr fitToPage="1"/>
  </sheetPr>
  <dimension ref="A1:AH76"/>
  <sheetViews>
    <sheetView tabSelected="1" zoomScale="110" zoomScaleNormal="110" workbookViewId="0">
      <pane xSplit="11" ySplit="5" topLeftCell="L6" activePane="bottomRight" state="frozen"/>
      <selection pane="bottomRight" activeCell="M8" sqref="M8"/>
      <selection pane="bottomLeft" activeCell="A6" sqref="A6"/>
      <selection pane="topRight" activeCell="L1" sqref="L1"/>
    </sheetView>
  </sheetViews>
  <sheetFormatPr defaultColWidth="9.140625" defaultRowHeight="18" customHeight="1"/>
  <cols>
    <col min="1" max="1" width="42.140625" style="64" customWidth="1"/>
    <col min="2" max="2" width="7.7109375" style="65" bestFit="1" customWidth="1"/>
    <col min="3" max="3" width="9.140625" style="62" customWidth="1"/>
    <col min="4" max="5" width="7" style="62" bestFit="1" customWidth="1"/>
    <col min="6" max="6" width="11.7109375" style="62" bestFit="1" customWidth="1"/>
    <col min="7" max="7" width="5.140625" style="62" bestFit="1" customWidth="1"/>
    <col min="8" max="8" width="10.5703125" style="62" bestFit="1" customWidth="1"/>
    <col min="9" max="9" width="5.140625" style="62" bestFit="1" customWidth="1"/>
    <col min="10" max="10" width="14.42578125" style="62" bestFit="1" customWidth="1"/>
    <col min="11" max="11" width="6.7109375" style="62" customWidth="1"/>
    <col min="12" max="12" width="10" style="62" bestFit="1" customWidth="1"/>
    <col min="13" max="13" width="10.7109375" style="62" bestFit="1" customWidth="1"/>
    <col min="14" max="14" width="8" style="62" bestFit="1" customWidth="1"/>
    <col min="15" max="15" width="10.5703125" style="62" bestFit="1" customWidth="1"/>
    <col min="16" max="16" width="10.85546875" style="62" bestFit="1" customWidth="1"/>
    <col min="17" max="17" width="9" style="62" bestFit="1" customWidth="1"/>
    <col min="18" max="18" width="8" style="62" bestFit="1" customWidth="1"/>
    <col min="19" max="19" width="11.140625" style="62" bestFit="1" customWidth="1"/>
    <col min="20" max="20" width="11.85546875" style="62" bestFit="1" customWidth="1"/>
    <col min="21" max="21" width="10.5703125" style="62" bestFit="1" customWidth="1"/>
    <col min="22" max="22" width="7.85546875" style="62" customWidth="1"/>
    <col min="23" max="23" width="9.85546875" style="62" bestFit="1" customWidth="1"/>
    <col min="24" max="24" width="11.85546875" style="62" bestFit="1" customWidth="1"/>
    <col min="25" max="25" width="12.5703125" style="63" customWidth="1"/>
    <col min="26" max="26" width="19" style="62" customWidth="1"/>
    <col min="27" max="27" width="11.5703125" style="62" customWidth="1"/>
    <col min="28" max="31" width="9.140625" style="62"/>
    <col min="32" max="32" width="25.140625" style="62" customWidth="1"/>
    <col min="33" max="16384" width="9.140625" style="62"/>
  </cols>
  <sheetData>
    <row r="1" spans="1:26" ht="18" customHeight="1">
      <c r="A1" s="258" t="s">
        <v>65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</row>
    <row r="2" spans="1:26" ht="18" customHeight="1">
      <c r="A2" s="258" t="s">
        <v>66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</row>
    <row r="3" spans="1:26" ht="18" customHeight="1">
      <c r="A3" s="258" t="s">
        <v>67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</row>
    <row r="4" spans="1:26" ht="18" customHeight="1"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</row>
    <row r="5" spans="1:26" ht="41.25" customHeight="1" thickBot="1">
      <c r="A5" s="67" t="s">
        <v>68</v>
      </c>
      <c r="B5" s="68"/>
      <c r="C5" s="69" t="s">
        <v>69</v>
      </c>
      <c r="D5" s="70" t="s">
        <v>70</v>
      </c>
      <c r="E5" s="70" t="s">
        <v>71</v>
      </c>
      <c r="F5" s="71" t="s">
        <v>72</v>
      </c>
      <c r="G5" s="72"/>
      <c r="H5" s="71" t="s">
        <v>73</v>
      </c>
      <c r="I5" s="72"/>
      <c r="J5" s="73" t="s">
        <v>74</v>
      </c>
      <c r="K5" s="74"/>
      <c r="L5" s="69" t="s">
        <v>75</v>
      </c>
      <c r="M5" s="71" t="s">
        <v>76</v>
      </c>
      <c r="N5" s="71" t="s">
        <v>77</v>
      </c>
      <c r="O5" s="71" t="s">
        <v>78</v>
      </c>
      <c r="P5" s="71" t="s">
        <v>79</v>
      </c>
      <c r="Q5" s="71" t="s">
        <v>80</v>
      </c>
      <c r="R5" s="71" t="s">
        <v>81</v>
      </c>
      <c r="S5" s="71" t="s">
        <v>82</v>
      </c>
      <c r="T5" s="71" t="s">
        <v>83</v>
      </c>
      <c r="U5" s="73" t="s">
        <v>84</v>
      </c>
      <c r="W5" s="75" t="s">
        <v>85</v>
      </c>
      <c r="X5" s="76" t="s">
        <v>86</v>
      </c>
      <c r="Y5" s="225" t="s">
        <v>87</v>
      </c>
      <c r="Z5" s="224" t="s">
        <v>88</v>
      </c>
    </row>
    <row r="6" spans="1:26" ht="18" customHeight="1">
      <c r="A6" s="64" t="s">
        <v>89</v>
      </c>
      <c r="B6" s="77">
        <v>15</v>
      </c>
      <c r="C6" s="78">
        <f>Enrollment!J9</f>
        <v>1343</v>
      </c>
      <c r="D6" s="79">
        <v>0</v>
      </c>
      <c r="E6" s="80">
        <f>+C6+D6</f>
        <v>1343</v>
      </c>
      <c r="F6" s="81">
        <f>+B6*E6</f>
        <v>20145</v>
      </c>
      <c r="G6" s="61"/>
      <c r="H6" s="61">
        <v>0</v>
      </c>
      <c r="I6" s="61"/>
      <c r="J6" s="82">
        <f>+F6+H6</f>
        <v>20145</v>
      </c>
      <c r="K6" s="61"/>
      <c r="L6" s="83">
        <f>+J6</f>
        <v>20145</v>
      </c>
      <c r="M6" s="61"/>
      <c r="N6" s="61"/>
      <c r="O6" s="61"/>
      <c r="P6" s="61"/>
      <c r="Q6" s="61"/>
      <c r="R6" s="61"/>
      <c r="S6" s="61"/>
      <c r="T6" s="61"/>
      <c r="U6" s="84">
        <f>SUM(L6:T6)</f>
        <v>20145</v>
      </c>
      <c r="W6" s="85">
        <v>18800</v>
      </c>
      <c r="X6" s="63">
        <v>20145</v>
      </c>
      <c r="Y6" s="63">
        <f>B6*Enrollment!K9</f>
        <v>21750</v>
      </c>
      <c r="Z6" s="80">
        <f>X6-Y6</f>
        <v>-1605</v>
      </c>
    </row>
    <row r="7" spans="1:26" s="94" customFormat="1" ht="18" customHeight="1">
      <c r="A7" s="86" t="s">
        <v>84</v>
      </c>
      <c r="B7" s="87"/>
      <c r="C7" s="88">
        <f>SUM(C6)</f>
        <v>1343</v>
      </c>
      <c r="D7" s="88">
        <f t="shared" ref="D7:U7" si="0">SUM(D6)</f>
        <v>0</v>
      </c>
      <c r="E7" s="89">
        <f t="shared" si="0"/>
        <v>1343</v>
      </c>
      <c r="F7" s="89">
        <f>SUM(F6)</f>
        <v>20145</v>
      </c>
      <c r="G7" s="90">
        <f t="shared" si="0"/>
        <v>0</v>
      </c>
      <c r="H7" s="90">
        <f t="shared" si="0"/>
        <v>0</v>
      </c>
      <c r="I7" s="90">
        <f t="shared" si="0"/>
        <v>0</v>
      </c>
      <c r="J7" s="91">
        <f t="shared" si="0"/>
        <v>20145</v>
      </c>
      <c r="K7" s="90">
        <f t="shared" si="0"/>
        <v>0</v>
      </c>
      <c r="L7" s="89">
        <f t="shared" si="0"/>
        <v>20145</v>
      </c>
      <c r="M7" s="90">
        <f t="shared" si="0"/>
        <v>0</v>
      </c>
      <c r="N7" s="90">
        <f t="shared" si="0"/>
        <v>0</v>
      </c>
      <c r="O7" s="90">
        <f t="shared" si="0"/>
        <v>0</v>
      </c>
      <c r="P7" s="90">
        <f t="shared" si="0"/>
        <v>0</v>
      </c>
      <c r="Q7" s="90">
        <f t="shared" si="0"/>
        <v>0</v>
      </c>
      <c r="R7" s="90">
        <f t="shared" si="0"/>
        <v>0</v>
      </c>
      <c r="S7" s="90">
        <f t="shared" si="0"/>
        <v>0</v>
      </c>
      <c r="T7" s="90">
        <f t="shared" si="0"/>
        <v>0</v>
      </c>
      <c r="U7" s="91">
        <f t="shared" si="0"/>
        <v>20145</v>
      </c>
      <c r="V7" s="92">
        <f>J7-U7</f>
        <v>0</v>
      </c>
      <c r="W7" s="93">
        <f>SUM(W5:W6)</f>
        <v>18800</v>
      </c>
      <c r="X7" s="92">
        <f>SUM(X6)</f>
        <v>20145</v>
      </c>
      <c r="Y7" s="92">
        <f>SUM(Y6)</f>
        <v>21750</v>
      </c>
      <c r="Z7" s="92">
        <f>SUM(Z6)</f>
        <v>-1605</v>
      </c>
    </row>
    <row r="8" spans="1:26" ht="18" customHeight="1">
      <c r="C8" s="79"/>
      <c r="F8" s="83"/>
      <c r="G8" s="61"/>
      <c r="H8" s="61"/>
      <c r="I8" s="61"/>
      <c r="J8" s="82"/>
      <c r="K8" s="61"/>
      <c r="L8" s="95">
        <f>+L17/U17</f>
        <v>0.29947708484896135</v>
      </c>
      <c r="M8" s="96">
        <f>+M17/U17</f>
        <v>0.30325581000035795</v>
      </c>
      <c r="N8" s="96">
        <f>+N17/U17</f>
        <v>7.3665445120224077E-2</v>
      </c>
      <c r="O8" s="96">
        <f>+O17/U17</f>
        <v>5.3845893588654582E-2</v>
      </c>
      <c r="P8" s="96">
        <f>+P17/U17</f>
        <v>4.4199267072134438E-2</v>
      </c>
      <c r="Q8" s="96">
        <f>+Q17/U17</f>
        <v>5.8932356096179257E-2</v>
      </c>
      <c r="R8" s="96">
        <f>+R17/U17</f>
        <v>2.9466178048089629E-2</v>
      </c>
      <c r="S8" s="96">
        <f>+S17/U17</f>
        <v>8.8398534144268875E-2</v>
      </c>
      <c r="T8" s="96">
        <f>+T17/U17</f>
        <v>4.8759431081129893E-2</v>
      </c>
      <c r="U8" s="97"/>
      <c r="W8" s="85"/>
    </row>
    <row r="9" spans="1:26" ht="18" customHeight="1">
      <c r="A9" s="64" t="s">
        <v>90</v>
      </c>
      <c r="C9" s="79"/>
      <c r="E9" s="98"/>
      <c r="F9" s="83"/>
      <c r="G9" s="61"/>
      <c r="H9" s="61"/>
      <c r="I9" s="61"/>
      <c r="J9" s="82"/>
      <c r="K9" s="61"/>
      <c r="L9" s="99"/>
      <c r="U9" s="97"/>
      <c r="W9" s="85"/>
    </row>
    <row r="10" spans="1:26" ht="18" customHeight="1">
      <c r="A10" s="64" t="s">
        <v>91</v>
      </c>
      <c r="B10" s="77">
        <v>72.150000000000006</v>
      </c>
      <c r="C10" s="79">
        <f>Enrollment!J13</f>
        <v>2521.9499999999998</v>
      </c>
      <c r="D10" s="83">
        <v>0</v>
      </c>
      <c r="E10" s="100">
        <f t="shared" ref="E10:E11" si="1">+C10+D10</f>
        <v>2521.9499999999998</v>
      </c>
      <c r="F10" s="83">
        <f>+E10*B10</f>
        <v>181958.6925</v>
      </c>
      <c r="G10" s="61"/>
      <c r="H10" s="61">
        <v>0</v>
      </c>
      <c r="I10" s="61"/>
      <c r="J10" s="82">
        <f>+F10+H10</f>
        <v>181958.6925</v>
      </c>
      <c r="K10" s="61"/>
      <c r="L10" s="83">
        <f>E10*21.15</f>
        <v>53339.242499999993</v>
      </c>
      <c r="M10" s="61">
        <f>E10*23</f>
        <v>58004.85</v>
      </c>
      <c r="N10" s="61">
        <f>E10*5</f>
        <v>12609.75</v>
      </c>
      <c r="O10" s="61">
        <f>E10*4</f>
        <v>10087.799999999999</v>
      </c>
      <c r="P10" s="61">
        <f>E10*3</f>
        <v>7565.8499999999995</v>
      </c>
      <c r="Q10" s="61">
        <f>E10*4</f>
        <v>10087.799999999999</v>
      </c>
      <c r="R10" s="61">
        <f>E10*2</f>
        <v>5043.8999999999996</v>
      </c>
      <c r="S10" s="61">
        <f>+E10*6</f>
        <v>15131.699999999999</v>
      </c>
      <c r="T10" s="61">
        <f>E10*4</f>
        <v>10087.799999999999</v>
      </c>
      <c r="U10" s="101">
        <f>SUM(L10:T10)</f>
        <v>181958.69249999998</v>
      </c>
      <c r="V10" s="80">
        <f>J10-U10</f>
        <v>0</v>
      </c>
      <c r="W10" s="85">
        <v>306741</v>
      </c>
      <c r="X10" s="80">
        <f>U10</f>
        <v>181958.69249999998</v>
      </c>
      <c r="Y10" s="63">
        <f>B10*Enrollment!K13</f>
        <v>209506.77605516091</v>
      </c>
      <c r="Z10" s="80">
        <f>X10-Y10</f>
        <v>-27548.083555160934</v>
      </c>
    </row>
    <row r="11" spans="1:26" ht="18" customHeight="1">
      <c r="A11" s="64" t="s">
        <v>92</v>
      </c>
      <c r="B11" s="77">
        <v>52.15</v>
      </c>
      <c r="C11" s="79">
        <f>Enrollment!J14</f>
        <v>1546.1499999999999</v>
      </c>
      <c r="D11" s="83">
        <v>0</v>
      </c>
      <c r="E11" s="100">
        <f t="shared" si="1"/>
        <v>1546.1499999999999</v>
      </c>
      <c r="F11" s="83">
        <f>+E11*B11</f>
        <v>80631.722499999989</v>
      </c>
      <c r="G11" s="61"/>
      <c r="H11" s="61">
        <v>0</v>
      </c>
      <c r="I11" s="61"/>
      <c r="J11" s="82">
        <f>+F11+H11</f>
        <v>80631.722499999989</v>
      </c>
      <c r="K11" s="61"/>
      <c r="L11" s="83">
        <f>E11*11.15</f>
        <v>17239.572499999998</v>
      </c>
      <c r="M11" s="61">
        <f>E11*16</f>
        <v>24738.399999999998</v>
      </c>
      <c r="N11" s="61">
        <f>E11*5</f>
        <v>7730.7499999999991</v>
      </c>
      <c r="O11" s="61">
        <f>E11*3</f>
        <v>4638.45</v>
      </c>
      <c r="P11" s="61">
        <f>E11*3</f>
        <v>4638.45</v>
      </c>
      <c r="Q11" s="61">
        <f>E11*4</f>
        <v>6184.5999999999995</v>
      </c>
      <c r="R11" s="61">
        <f>E11*2</f>
        <v>3092.2999999999997</v>
      </c>
      <c r="S11" s="61">
        <f>+E11*6</f>
        <v>9276.9</v>
      </c>
      <c r="T11" s="61">
        <f>E11*2</f>
        <v>3092.2999999999997</v>
      </c>
      <c r="U11" s="101">
        <f>SUM(L11:T11)</f>
        <v>80631.722499999989</v>
      </c>
      <c r="V11" s="80">
        <f>J11-U11</f>
        <v>0</v>
      </c>
      <c r="W11" s="85">
        <v>94866</v>
      </c>
      <c r="X11" s="80">
        <f>U11</f>
        <v>80631.722499999989</v>
      </c>
      <c r="Y11" s="63">
        <f>B11*Enrollment!K14</f>
        <v>92839.160342666102</v>
      </c>
      <c r="Z11" s="80">
        <f>X11-Y11</f>
        <v>-12207.437842666113</v>
      </c>
    </row>
    <row r="12" spans="1:26" s="94" customFormat="1" ht="18" customHeight="1">
      <c r="A12" s="86" t="s">
        <v>84</v>
      </c>
      <c r="B12" s="87"/>
      <c r="C12" s="88">
        <f>SUM(C10:C11)</f>
        <v>4068.0999999999995</v>
      </c>
      <c r="D12" s="89">
        <f t="shared" ref="D12:E12" si="2">SUM(D10:D11)</f>
        <v>0</v>
      </c>
      <c r="E12" s="88">
        <f t="shared" si="2"/>
        <v>4068.0999999999995</v>
      </c>
      <c r="F12" s="89">
        <f>SUM(F10:F11)</f>
        <v>262590.41499999998</v>
      </c>
      <c r="G12" s="102"/>
      <c r="H12" s="90">
        <f>SUM(H10:H11)</f>
        <v>0</v>
      </c>
      <c r="I12" s="102"/>
      <c r="J12" s="91">
        <f>SUM(J10:J11)</f>
        <v>262590.41499999998</v>
      </c>
      <c r="K12" s="102"/>
      <c r="L12" s="89">
        <f t="shared" ref="L12:T12" si="3">SUM(L10:L11)</f>
        <v>70578.814999999988</v>
      </c>
      <c r="M12" s="90">
        <f t="shared" si="3"/>
        <v>82743.25</v>
      </c>
      <c r="N12" s="90">
        <f t="shared" si="3"/>
        <v>20340.5</v>
      </c>
      <c r="O12" s="90">
        <f t="shared" si="3"/>
        <v>14726.25</v>
      </c>
      <c r="P12" s="90">
        <f t="shared" si="3"/>
        <v>12204.3</v>
      </c>
      <c r="Q12" s="90">
        <f t="shared" si="3"/>
        <v>16272.399999999998</v>
      </c>
      <c r="R12" s="90">
        <f t="shared" si="3"/>
        <v>8136.1999999999989</v>
      </c>
      <c r="S12" s="90">
        <f t="shared" si="3"/>
        <v>24408.6</v>
      </c>
      <c r="T12" s="90">
        <f t="shared" si="3"/>
        <v>13180.099999999999</v>
      </c>
      <c r="U12" s="103">
        <f>SUM(U10:U11)</f>
        <v>262590.41499999998</v>
      </c>
      <c r="V12" s="92">
        <f>J12-U12</f>
        <v>0</v>
      </c>
      <c r="W12" s="93">
        <f>SUM(W10:W11)</f>
        <v>401607</v>
      </c>
      <c r="X12" s="92">
        <f>SUM(X10:X11)</f>
        <v>262590.41499999998</v>
      </c>
      <c r="Y12" s="92">
        <f t="shared" ref="Y12:Z12" si="4">SUM(Y10:Y11)</f>
        <v>302345.936397827</v>
      </c>
      <c r="Z12" s="92">
        <f t="shared" si="4"/>
        <v>-39755.521397827048</v>
      </c>
    </row>
    <row r="13" spans="1:26" ht="18" customHeight="1">
      <c r="A13" s="64" t="s">
        <v>93</v>
      </c>
      <c r="C13" s="79"/>
      <c r="E13" s="98"/>
      <c r="F13" s="83"/>
      <c r="G13" s="61"/>
      <c r="H13" s="61"/>
      <c r="I13" s="61"/>
      <c r="J13" s="82"/>
      <c r="K13" s="61"/>
      <c r="L13" s="83"/>
      <c r="M13" s="61"/>
      <c r="N13" s="61"/>
      <c r="O13" s="61"/>
      <c r="P13" s="61"/>
      <c r="Q13" s="61"/>
      <c r="R13" s="61"/>
      <c r="S13" s="61"/>
      <c r="T13" s="61"/>
      <c r="U13" s="97"/>
      <c r="W13" s="85"/>
    </row>
    <row r="14" spans="1:26" ht="18" customHeight="1">
      <c r="A14" s="64" t="s">
        <v>91</v>
      </c>
      <c r="B14" s="77">
        <v>72.150000000000006</v>
      </c>
      <c r="C14" s="79">
        <f>Enrollment!J18</f>
        <v>2494.75</v>
      </c>
      <c r="D14" s="80">
        <v>0</v>
      </c>
      <c r="E14" s="100">
        <f t="shared" ref="E14:E15" si="5">+C14+D14</f>
        <v>2494.75</v>
      </c>
      <c r="F14" s="83">
        <f>+E14*B14</f>
        <v>179996.21250000002</v>
      </c>
      <c r="G14" s="61"/>
      <c r="H14" s="61">
        <v>0</v>
      </c>
      <c r="I14" s="61"/>
      <c r="J14" s="82">
        <f>+F14+H14</f>
        <v>179996.21250000002</v>
      </c>
      <c r="K14" s="61"/>
      <c r="L14" s="83">
        <f>E14*21.15</f>
        <v>52763.962499999994</v>
      </c>
      <c r="M14" s="61">
        <f>E14*23</f>
        <v>57379.25</v>
      </c>
      <c r="N14" s="61">
        <f>E14*5</f>
        <v>12473.75</v>
      </c>
      <c r="O14" s="61">
        <f>E14*4</f>
        <v>9979</v>
      </c>
      <c r="P14" s="61">
        <f>E14*3</f>
        <v>7484.25</v>
      </c>
      <c r="Q14" s="61">
        <f>E14*4</f>
        <v>9979</v>
      </c>
      <c r="R14" s="61">
        <f>E14*2</f>
        <v>4989.5</v>
      </c>
      <c r="S14" s="61">
        <f>E14*6</f>
        <v>14968.5</v>
      </c>
      <c r="T14" s="61">
        <f>E14*4</f>
        <v>9979</v>
      </c>
      <c r="U14" s="101">
        <f>SUM(L14:T14)+1</f>
        <v>179997.21249999999</v>
      </c>
      <c r="V14" s="80">
        <f>J14-U14</f>
        <v>-0.99999999997089617</v>
      </c>
      <c r="W14" s="85">
        <v>278337</v>
      </c>
      <c r="X14" s="80">
        <f>U14</f>
        <v>179997.21249999999</v>
      </c>
      <c r="Y14" s="63">
        <f>B14*Enrollment!K18</f>
        <v>209706.75656338697</v>
      </c>
      <c r="Z14" s="80">
        <f>X14-Y14</f>
        <v>-29709.544063386973</v>
      </c>
    </row>
    <row r="15" spans="1:26" ht="18" customHeight="1">
      <c r="A15" s="64" t="s">
        <v>92</v>
      </c>
      <c r="B15" s="77">
        <v>52.15</v>
      </c>
      <c r="C15" s="79">
        <f>Enrollment!J19</f>
        <v>1099.05</v>
      </c>
      <c r="D15" s="80">
        <v>0</v>
      </c>
      <c r="E15" s="100">
        <f t="shared" si="5"/>
        <v>1099.05</v>
      </c>
      <c r="F15" s="83">
        <f>+E15*B15</f>
        <v>57315.457499999997</v>
      </c>
      <c r="G15" s="61"/>
      <c r="H15" s="61">
        <v>0</v>
      </c>
      <c r="I15" s="61"/>
      <c r="J15" s="82">
        <f>+F15+H15</f>
        <v>57315.457499999997</v>
      </c>
      <c r="K15" s="61"/>
      <c r="L15" s="83">
        <f>E15*11.15</f>
        <v>12254.407499999999</v>
      </c>
      <c r="M15" s="61">
        <f>E15*16</f>
        <v>17584.8</v>
      </c>
      <c r="N15" s="61">
        <f>E15*5</f>
        <v>5495.25</v>
      </c>
      <c r="O15" s="61">
        <f>E15*3</f>
        <v>3297.1499999999996</v>
      </c>
      <c r="P15" s="61">
        <f>E15*3</f>
        <v>3297.1499999999996</v>
      </c>
      <c r="Q15" s="61">
        <f>E15*4</f>
        <v>4396.2</v>
      </c>
      <c r="R15" s="61">
        <f>E15*2</f>
        <v>2198.1</v>
      </c>
      <c r="S15" s="61">
        <f>E15*6</f>
        <v>6594.2999999999993</v>
      </c>
      <c r="T15" s="61">
        <f>E15*2</f>
        <v>2198.1</v>
      </c>
      <c r="U15" s="101">
        <f>SUM(L15:T15)</f>
        <v>57315.457499999997</v>
      </c>
      <c r="V15" s="80">
        <f>J15-U15</f>
        <v>0</v>
      </c>
      <c r="W15" s="85">
        <v>101891</v>
      </c>
      <c r="X15" s="80">
        <f>U15</f>
        <v>57315.457499999997</v>
      </c>
      <c r="Y15" s="63">
        <f>B15*Enrollment!K19</f>
        <v>66776.064486754971</v>
      </c>
      <c r="Z15" s="80">
        <f>X15-Y15</f>
        <v>-9460.6069867549741</v>
      </c>
    </row>
    <row r="16" spans="1:26" s="94" customFormat="1" ht="18" customHeight="1">
      <c r="A16" s="86" t="s">
        <v>84</v>
      </c>
      <c r="B16" s="87"/>
      <c r="C16" s="88">
        <f>SUM(C14:C15)</f>
        <v>3593.8</v>
      </c>
      <c r="D16" s="88">
        <f>SUM(D14:D15)</f>
        <v>0</v>
      </c>
      <c r="E16" s="88">
        <f>SUM(E14:E15)</f>
        <v>3593.8</v>
      </c>
      <c r="F16" s="89">
        <f>SUM(F14:F15)</f>
        <v>237311.67</v>
      </c>
      <c r="G16" s="102"/>
      <c r="H16" s="90">
        <f>SUM(H14:H15)</f>
        <v>0</v>
      </c>
      <c r="I16" s="102"/>
      <c r="J16" s="104">
        <f>SUM(J14:J15)</f>
        <v>237311.67</v>
      </c>
      <c r="K16" s="102"/>
      <c r="L16" s="105">
        <f t="shared" ref="L16:T16" si="6">SUM(L14:L15)</f>
        <v>65018.369999999995</v>
      </c>
      <c r="M16" s="106">
        <f t="shared" si="6"/>
        <v>74964.05</v>
      </c>
      <c r="N16" s="106">
        <f t="shared" si="6"/>
        <v>17969</v>
      </c>
      <c r="O16" s="106">
        <f t="shared" si="6"/>
        <v>13276.15</v>
      </c>
      <c r="P16" s="106">
        <f t="shared" si="6"/>
        <v>10781.4</v>
      </c>
      <c r="Q16" s="106">
        <f t="shared" si="6"/>
        <v>14375.2</v>
      </c>
      <c r="R16" s="106">
        <f t="shared" si="6"/>
        <v>7187.6</v>
      </c>
      <c r="S16" s="106">
        <f t="shared" si="6"/>
        <v>21562.799999999999</v>
      </c>
      <c r="T16" s="106">
        <f t="shared" si="6"/>
        <v>12177.1</v>
      </c>
      <c r="U16" s="107">
        <f>SUM(U14:U15)-1</f>
        <v>237311.66999999998</v>
      </c>
      <c r="V16" s="92">
        <f>J16-U16</f>
        <v>0</v>
      </c>
      <c r="W16" s="93">
        <f>SUM(W14:W15)</f>
        <v>380228</v>
      </c>
      <c r="X16" s="92">
        <f>SUM(X14:X15)-1</f>
        <v>237311.66999999998</v>
      </c>
      <c r="Y16" s="92">
        <f>SUM(Y14:Y15)</f>
        <v>276482.82105014194</v>
      </c>
      <c r="Z16" s="92">
        <f t="shared" ref="Z16" si="7">SUM(Z14:Z15)-1</f>
        <v>-39171.151050141947</v>
      </c>
    </row>
    <row r="17" spans="1:34" s="94" customFormat="1" ht="18" customHeight="1">
      <c r="A17" s="86" t="s">
        <v>94</v>
      </c>
      <c r="B17" s="87"/>
      <c r="C17" s="102"/>
      <c r="F17" s="108">
        <f>+F12+F16+F7</f>
        <v>520047.08499999996</v>
      </c>
      <c r="G17" s="109"/>
      <c r="H17" s="109">
        <f t="shared" ref="H17:V17" si="8">H6+H12+H16</f>
        <v>0</v>
      </c>
      <c r="I17" s="109">
        <f t="shared" si="8"/>
        <v>0</v>
      </c>
      <c r="J17" s="91">
        <f>+J12+J16+J7</f>
        <v>520047.08499999996</v>
      </c>
      <c r="K17" s="109">
        <f t="shared" si="8"/>
        <v>0</v>
      </c>
      <c r="L17" s="89">
        <f t="shared" ref="L17:U17" si="9">+L12+L16+L7</f>
        <v>155742.185</v>
      </c>
      <c r="M17" s="90">
        <f t="shared" si="9"/>
        <v>157707.29999999999</v>
      </c>
      <c r="N17" s="90">
        <f t="shared" si="9"/>
        <v>38309.5</v>
      </c>
      <c r="O17" s="90">
        <f t="shared" si="9"/>
        <v>28002.400000000001</v>
      </c>
      <c r="P17" s="90">
        <f t="shared" si="9"/>
        <v>22985.699999999997</v>
      </c>
      <c r="Q17" s="90">
        <f t="shared" si="9"/>
        <v>30647.599999999999</v>
      </c>
      <c r="R17" s="90">
        <f t="shared" si="9"/>
        <v>15323.8</v>
      </c>
      <c r="S17" s="90">
        <f t="shared" si="9"/>
        <v>45971.399999999994</v>
      </c>
      <c r="T17" s="90">
        <f t="shared" si="9"/>
        <v>25357.199999999997</v>
      </c>
      <c r="U17" s="91">
        <f t="shared" si="9"/>
        <v>520047.08499999996</v>
      </c>
      <c r="V17" s="109">
        <f t="shared" si="8"/>
        <v>0</v>
      </c>
      <c r="W17" s="109">
        <f>W6+W12+W16</f>
        <v>800635</v>
      </c>
      <c r="X17" s="92">
        <f>X16+X12+X7</f>
        <v>520047.08499999996</v>
      </c>
      <c r="Y17" s="92">
        <f t="shared" ref="Y17:Z17" si="10">Y16+Y12+Y7</f>
        <v>600578.75744796894</v>
      </c>
      <c r="Z17" s="92">
        <f t="shared" si="10"/>
        <v>-80531.672447969002</v>
      </c>
    </row>
    <row r="18" spans="1:34" ht="18" customHeight="1">
      <c r="A18" s="64" t="s">
        <v>95</v>
      </c>
      <c r="C18" s="61"/>
      <c r="F18" s="83"/>
      <c r="G18" s="61"/>
      <c r="H18" s="61">
        <v>0</v>
      </c>
      <c r="I18" s="61"/>
      <c r="J18" s="82">
        <f>+F18+H18</f>
        <v>0</v>
      </c>
      <c r="K18" s="61"/>
      <c r="L18" s="83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82">
        <f>SUM(L18:T18)</f>
        <v>0</v>
      </c>
      <c r="W18" s="85">
        <v>1500</v>
      </c>
    </row>
    <row r="19" spans="1:34" ht="18" customHeight="1">
      <c r="A19" s="64" t="s">
        <v>96</v>
      </c>
      <c r="C19" s="61"/>
      <c r="F19" s="83">
        <v>100982</v>
      </c>
      <c r="G19" s="61"/>
      <c r="H19" s="61">
        <f>58303+21600+10000+42293+103342.14+3150+25000+25351+225080.21</f>
        <v>514119.35</v>
      </c>
      <c r="I19" s="61"/>
      <c r="J19" s="82">
        <f>+F19+H19</f>
        <v>615101.35</v>
      </c>
      <c r="K19" s="61"/>
      <c r="L19" s="83">
        <f>100982+79903+103342.14+3150+25000</f>
        <v>312377.14</v>
      </c>
      <c r="M19" s="61">
        <v>42293</v>
      </c>
      <c r="N19" s="61"/>
      <c r="O19" s="61"/>
      <c r="P19" s="61"/>
      <c r="Q19" s="61">
        <v>25351</v>
      </c>
      <c r="R19" s="61"/>
      <c r="S19" s="61">
        <v>225080.21</v>
      </c>
      <c r="T19" s="61">
        <v>10000</v>
      </c>
      <c r="U19" s="82">
        <f>SUM(L19:T19)</f>
        <v>615101.35</v>
      </c>
      <c r="W19" s="85"/>
      <c r="X19" s="80">
        <f>U19</f>
        <v>615101.35</v>
      </c>
      <c r="Y19" s="63">
        <v>0</v>
      </c>
      <c r="Z19" s="80">
        <f>X19-Y19</f>
        <v>615101.35</v>
      </c>
    </row>
    <row r="20" spans="1:34" s="94" customFormat="1" ht="18" customHeight="1">
      <c r="A20" s="86" t="s">
        <v>97</v>
      </c>
      <c r="B20" s="87"/>
      <c r="C20" s="102"/>
      <c r="F20" s="89">
        <f>SUM(F17:F19)</f>
        <v>621029.08499999996</v>
      </c>
      <c r="G20" s="90">
        <f t="shared" ref="G20:Z20" si="11">SUM(G17:G19)</f>
        <v>0</v>
      </c>
      <c r="H20" s="90">
        <f t="shared" si="11"/>
        <v>514119.35</v>
      </c>
      <c r="I20" s="90">
        <f t="shared" si="11"/>
        <v>0</v>
      </c>
      <c r="J20" s="91">
        <f>SUM(J17:J19)</f>
        <v>1135148.4350000001</v>
      </c>
      <c r="K20" s="89">
        <f t="shared" si="11"/>
        <v>0</v>
      </c>
      <c r="L20" s="89">
        <f>SUM(L17:L19)</f>
        <v>468119.32500000001</v>
      </c>
      <c r="M20" s="110">
        <f t="shared" si="11"/>
        <v>200000.3</v>
      </c>
      <c r="N20" s="90">
        <f t="shared" si="11"/>
        <v>38309.5</v>
      </c>
      <c r="O20" s="90">
        <f t="shared" si="11"/>
        <v>28002.400000000001</v>
      </c>
      <c r="P20" s="90">
        <f t="shared" si="11"/>
        <v>22985.699999999997</v>
      </c>
      <c r="Q20" s="110">
        <f t="shared" si="11"/>
        <v>55998.6</v>
      </c>
      <c r="R20" s="111">
        <f t="shared" si="11"/>
        <v>15323.8</v>
      </c>
      <c r="S20" s="90">
        <f t="shared" si="11"/>
        <v>271051.61</v>
      </c>
      <c r="T20" s="90">
        <f t="shared" si="11"/>
        <v>35357.199999999997</v>
      </c>
      <c r="U20" s="91">
        <f t="shared" si="11"/>
        <v>1135148.4350000001</v>
      </c>
      <c r="V20" s="91">
        <f t="shared" si="11"/>
        <v>0</v>
      </c>
      <c r="W20" s="91">
        <f t="shared" si="11"/>
        <v>802135</v>
      </c>
      <c r="X20" s="91">
        <f t="shared" si="11"/>
        <v>1135148.4350000001</v>
      </c>
      <c r="Y20" s="91">
        <f t="shared" si="11"/>
        <v>600578.75744796894</v>
      </c>
      <c r="Z20" s="91">
        <f t="shared" si="11"/>
        <v>534569.677552031</v>
      </c>
    </row>
    <row r="21" spans="1:34" ht="18" customHeight="1">
      <c r="C21" s="61"/>
      <c r="F21" s="61"/>
      <c r="G21" s="61"/>
      <c r="H21" s="61"/>
      <c r="I21" s="61"/>
      <c r="J21" s="82"/>
      <c r="K21" s="61"/>
      <c r="L21" s="83"/>
      <c r="M21" s="61"/>
      <c r="N21" s="61"/>
      <c r="O21" s="61"/>
      <c r="P21" s="61"/>
      <c r="Q21" s="61"/>
      <c r="R21" s="61"/>
      <c r="S21" s="61"/>
      <c r="T21" s="61"/>
      <c r="U21" s="112"/>
      <c r="V21" s="61"/>
      <c r="W21" s="61"/>
    </row>
    <row r="22" spans="1:34" ht="18" customHeight="1">
      <c r="A22" s="86" t="s">
        <v>98</v>
      </c>
      <c r="F22" s="61"/>
      <c r="G22" s="61"/>
      <c r="H22" s="61"/>
      <c r="I22" s="61"/>
      <c r="J22" s="82"/>
      <c r="K22" s="61"/>
      <c r="L22" s="83"/>
      <c r="M22" s="61"/>
      <c r="N22" s="61"/>
      <c r="O22" s="61"/>
      <c r="P22" s="61"/>
      <c r="Q22" s="61"/>
      <c r="R22" s="61"/>
      <c r="S22" s="61"/>
      <c r="T22" s="61"/>
      <c r="U22" s="97"/>
      <c r="W22" s="85"/>
    </row>
    <row r="23" spans="1:34" ht="18" customHeight="1">
      <c r="A23" s="86" t="s">
        <v>8</v>
      </c>
      <c r="F23" s="61"/>
      <c r="G23" s="61"/>
      <c r="H23" s="61"/>
      <c r="I23" s="61"/>
      <c r="J23" s="82"/>
      <c r="K23" s="61"/>
      <c r="L23" s="83"/>
      <c r="M23" s="61">
        <f>Athletics!H42</f>
        <v>290100</v>
      </c>
      <c r="N23" s="61"/>
      <c r="O23" s="61"/>
      <c r="P23" s="61"/>
      <c r="Q23" s="61"/>
      <c r="R23" s="61"/>
      <c r="S23" s="61"/>
      <c r="T23" s="61"/>
      <c r="U23" s="113">
        <f>SUM(M23:T23)</f>
        <v>290100</v>
      </c>
      <c r="W23" s="85"/>
      <c r="X23" s="80">
        <f>U23</f>
        <v>290100</v>
      </c>
      <c r="Y23" s="63">
        <f>+Athletics!J42+Athletics!K42</f>
        <v>241426.11</v>
      </c>
      <c r="Z23" s="114">
        <f>X23-Y23</f>
        <v>48673.890000000014</v>
      </c>
      <c r="AA23" s="115"/>
    </row>
    <row r="24" spans="1:34" ht="18" customHeight="1">
      <c r="A24" s="86" t="s">
        <v>80</v>
      </c>
      <c r="F24" s="61"/>
      <c r="G24" s="61"/>
      <c r="H24" s="61"/>
      <c r="I24" s="61"/>
      <c r="J24" s="82"/>
      <c r="K24" s="61"/>
      <c r="L24" s="83"/>
      <c r="M24" s="61"/>
      <c r="N24" s="61"/>
      <c r="O24" s="61"/>
      <c r="P24" s="61"/>
      <c r="Q24" s="61">
        <f>'Radio Station'!G22</f>
        <v>62827</v>
      </c>
      <c r="R24" s="61"/>
      <c r="S24" s="61"/>
      <c r="T24" s="61"/>
      <c r="U24" s="113">
        <f t="shared" ref="U24:U30" si="12">SUM(M24:T24)</f>
        <v>62827</v>
      </c>
      <c r="W24" s="85"/>
      <c r="X24" s="80">
        <f t="shared" ref="X24:X59" si="13">U24</f>
        <v>62827</v>
      </c>
      <c r="Y24" s="63">
        <f>+'Radio Station'!J22+'Radio Station'!K22</f>
        <v>12362.44</v>
      </c>
      <c r="Z24" s="114">
        <f t="shared" ref="Z24:Z25" si="14">X24-Y24</f>
        <v>50464.56</v>
      </c>
      <c r="AA24" s="115"/>
    </row>
    <row r="25" spans="1:34" ht="18" customHeight="1">
      <c r="A25" s="86" t="s">
        <v>99</v>
      </c>
      <c r="F25" s="61"/>
      <c r="G25" s="61"/>
      <c r="H25" s="61"/>
      <c r="I25" s="61"/>
      <c r="J25" s="82"/>
      <c r="K25" s="61"/>
      <c r="L25" s="83"/>
      <c r="M25" s="61"/>
      <c r="N25" s="61"/>
      <c r="O25" s="61"/>
      <c r="P25" s="61"/>
      <c r="Q25" s="61"/>
      <c r="R25" s="61">
        <f>'A.P.A.F.'!H17</f>
        <v>2300</v>
      </c>
      <c r="S25" s="61"/>
      <c r="T25" s="61"/>
      <c r="U25" s="113">
        <f t="shared" si="12"/>
        <v>2300</v>
      </c>
      <c r="W25" s="85"/>
      <c r="X25" s="80">
        <f>U25</f>
        <v>2300</v>
      </c>
      <c r="Y25" s="63">
        <f>'A.P.A.F.'!J17</f>
        <v>0</v>
      </c>
      <c r="Z25" s="114">
        <f t="shared" si="14"/>
        <v>2300</v>
      </c>
      <c r="AA25" s="115"/>
    </row>
    <row r="26" spans="1:34" ht="18" customHeight="1">
      <c r="A26" s="86" t="s">
        <v>100</v>
      </c>
      <c r="F26" s="61"/>
      <c r="G26" s="61"/>
      <c r="H26" s="61"/>
      <c r="I26" s="61"/>
      <c r="J26" s="82"/>
      <c r="K26" s="61"/>
      <c r="L26" s="83"/>
      <c r="M26" s="61"/>
      <c r="N26" s="61"/>
      <c r="O26" s="61"/>
      <c r="P26" s="61"/>
      <c r="Q26" s="61"/>
      <c r="R26" s="61"/>
      <c r="S26" s="61">
        <f>'Stdt Govt'!H36</f>
        <v>133737</v>
      </c>
      <c r="T26" s="61"/>
      <c r="U26" s="113">
        <f t="shared" si="12"/>
        <v>133737</v>
      </c>
      <c r="W26" s="85"/>
      <c r="X26" s="80">
        <f t="shared" si="13"/>
        <v>133737</v>
      </c>
      <c r="Y26" s="63">
        <f>'Stdt Govt'!J36+'Stdt Govt'!K36</f>
        <v>16723.3</v>
      </c>
      <c r="Z26" s="114">
        <f>X26-Y26</f>
        <v>117013.7</v>
      </c>
      <c r="AA26" s="115"/>
    </row>
    <row r="27" spans="1:34" ht="18" customHeight="1">
      <c r="A27" s="86" t="s">
        <v>101</v>
      </c>
      <c r="F27" s="61"/>
      <c r="G27" s="61"/>
      <c r="H27" s="61"/>
      <c r="I27" s="61"/>
      <c r="J27" s="82"/>
      <c r="K27" s="61"/>
      <c r="L27" s="83"/>
      <c r="M27" s="61"/>
      <c r="N27" s="61"/>
      <c r="O27" s="61"/>
      <c r="P27" s="61"/>
      <c r="Q27" s="61"/>
      <c r="R27" s="61"/>
      <c r="S27" s="61"/>
      <c r="T27" s="61">
        <f>'Stdt Club'!H20</f>
        <v>106045</v>
      </c>
      <c r="U27" s="113">
        <f t="shared" si="12"/>
        <v>106045</v>
      </c>
      <c r="W27" s="85"/>
      <c r="X27" s="80">
        <f t="shared" si="13"/>
        <v>106045</v>
      </c>
      <c r="Y27" s="63">
        <f>'Stdt Club'!J20+'Stdt Club'!K20</f>
        <v>39762.57</v>
      </c>
      <c r="Z27" s="114">
        <f t="shared" ref="Z27:Z61" si="15">X27-Y27</f>
        <v>66282.429999999993</v>
      </c>
      <c r="AA27" s="115"/>
    </row>
    <row r="28" spans="1:34" ht="18" customHeight="1">
      <c r="A28" s="86" t="s">
        <v>102</v>
      </c>
      <c r="F28" s="61"/>
      <c r="G28" s="61"/>
      <c r="H28" s="61"/>
      <c r="I28" s="61"/>
      <c r="J28" s="82"/>
      <c r="K28" s="61"/>
      <c r="L28" s="83"/>
      <c r="M28" s="61"/>
      <c r="N28" s="61">
        <f>'Child Ctr'!G13</f>
        <v>5900</v>
      </c>
      <c r="O28" s="61"/>
      <c r="P28" s="61"/>
      <c r="Q28" s="61"/>
      <c r="R28" s="61"/>
      <c r="S28" s="61"/>
      <c r="T28" s="61"/>
      <c r="U28" s="113">
        <f t="shared" si="12"/>
        <v>5900</v>
      </c>
      <c r="W28" s="85"/>
      <c r="X28" s="80">
        <f t="shared" si="13"/>
        <v>5900</v>
      </c>
      <c r="Z28" s="114">
        <f t="shared" si="15"/>
        <v>5900</v>
      </c>
      <c r="AA28" s="115"/>
    </row>
    <row r="29" spans="1:34" ht="18" customHeight="1">
      <c r="A29" s="86" t="s">
        <v>103</v>
      </c>
      <c r="F29" s="61"/>
      <c r="G29" s="61"/>
      <c r="H29" s="61"/>
      <c r="I29" s="61"/>
      <c r="J29" s="82"/>
      <c r="K29" s="61"/>
      <c r="L29" s="83"/>
      <c r="M29" s="61"/>
      <c r="N29" s="61"/>
      <c r="O29" s="61">
        <f>'Study Away'!G14</f>
        <v>28002</v>
      </c>
      <c r="P29" s="61"/>
      <c r="Q29" s="61"/>
      <c r="R29" s="61"/>
      <c r="S29" s="61"/>
      <c r="T29" s="61"/>
      <c r="U29" s="113">
        <f t="shared" si="12"/>
        <v>28002</v>
      </c>
      <c r="W29" s="85"/>
      <c r="X29" s="80">
        <f t="shared" si="13"/>
        <v>28002</v>
      </c>
      <c r="Z29" s="114">
        <f t="shared" si="15"/>
        <v>28002</v>
      </c>
      <c r="AA29" s="115"/>
    </row>
    <row r="30" spans="1:34" ht="18" customHeight="1">
      <c r="A30" s="86" t="s">
        <v>79</v>
      </c>
      <c r="F30" s="61"/>
      <c r="G30" s="61"/>
      <c r="H30" s="61"/>
      <c r="I30" s="61"/>
      <c r="J30" s="82"/>
      <c r="K30" s="61"/>
      <c r="L30" s="83"/>
      <c r="M30" s="61"/>
      <c r="N30" s="61"/>
      <c r="O30" s="61"/>
      <c r="P30" s="61">
        <f>'Game Room'!G20</f>
        <v>3500</v>
      </c>
      <c r="Q30" s="61"/>
      <c r="R30" s="61"/>
      <c r="S30" s="61"/>
      <c r="T30" s="61"/>
      <c r="U30" s="113">
        <f t="shared" si="12"/>
        <v>3500</v>
      </c>
      <c r="W30" s="85"/>
      <c r="X30" s="80">
        <f t="shared" si="13"/>
        <v>3500</v>
      </c>
      <c r="Z30" s="114">
        <f t="shared" si="15"/>
        <v>3500</v>
      </c>
      <c r="AA30" s="115"/>
    </row>
    <row r="31" spans="1:34" ht="18" customHeight="1">
      <c r="A31" s="10" t="s">
        <v>104</v>
      </c>
      <c r="B31" s="32"/>
      <c r="C31" s="116"/>
      <c r="D31" s="116"/>
      <c r="E31" s="117"/>
      <c r="F31" s="83">
        <f>'Administrative Fee'!D16</f>
        <v>79999.999999999985</v>
      </c>
      <c r="G31" s="61"/>
      <c r="H31" s="61">
        <v>0</v>
      </c>
      <c r="I31" s="61"/>
      <c r="J31" s="82">
        <f t="shared" ref="J31:J49" si="16">+F31+H31</f>
        <v>79999.999999999985</v>
      </c>
      <c r="K31" s="61"/>
      <c r="L31" s="83">
        <f>'Administrative Fee'!F7</f>
        <v>23800</v>
      </c>
      <c r="M31" s="61">
        <f>'Administrative Fee'!F8</f>
        <v>24300</v>
      </c>
      <c r="N31" s="61">
        <f>'Administrative Fee'!F9</f>
        <v>5900</v>
      </c>
      <c r="O31" s="61">
        <f>'Administrative Fee'!F10</f>
        <v>4300</v>
      </c>
      <c r="P31" s="61">
        <f>'Administrative Fee'!F11</f>
        <v>3500</v>
      </c>
      <c r="Q31" s="61">
        <f>'Administrative Fee'!F12</f>
        <v>4700</v>
      </c>
      <c r="R31" s="61">
        <f>'Administrative Fee'!F13</f>
        <v>2400</v>
      </c>
      <c r="S31" s="61">
        <f>'Administrative Fee'!F14</f>
        <v>7100</v>
      </c>
      <c r="T31" s="61">
        <f>'Administrative Fee'!F15</f>
        <v>3900</v>
      </c>
      <c r="U31" s="101">
        <f t="shared" ref="U31:U38" si="17">SUM(L31:T31)</f>
        <v>79900</v>
      </c>
      <c r="V31" s="118">
        <v>0</v>
      </c>
      <c r="W31" s="85">
        <v>0</v>
      </c>
      <c r="X31" s="80">
        <f>U31</f>
        <v>79900</v>
      </c>
      <c r="Z31" s="114">
        <f>X31-Y31</f>
        <v>79900</v>
      </c>
      <c r="AA31" s="115"/>
      <c r="AF31" s="10" t="s">
        <v>104</v>
      </c>
      <c r="AH31" s="153">
        <v>24000</v>
      </c>
    </row>
    <row r="32" spans="1:34" ht="18" customHeight="1">
      <c r="A32" s="10" t="s">
        <v>105</v>
      </c>
      <c r="B32" s="32"/>
      <c r="C32" s="119"/>
      <c r="D32" s="119"/>
      <c r="E32" s="120"/>
      <c r="F32" s="83">
        <f>'Budget Committee'!C14</f>
        <v>4800</v>
      </c>
      <c r="G32" s="61"/>
      <c r="H32" s="61">
        <v>0</v>
      </c>
      <c r="I32" s="61"/>
      <c r="J32" s="82">
        <f t="shared" si="16"/>
        <v>4800</v>
      </c>
      <c r="K32" s="61"/>
      <c r="L32" s="83">
        <f>+J32</f>
        <v>4800</v>
      </c>
      <c r="M32" s="61"/>
      <c r="N32" s="61"/>
      <c r="O32" s="61"/>
      <c r="P32" s="61"/>
      <c r="Q32" s="61"/>
      <c r="R32" s="61"/>
      <c r="S32" s="61"/>
      <c r="T32" s="61"/>
      <c r="U32" s="101">
        <f t="shared" si="17"/>
        <v>4800</v>
      </c>
      <c r="V32" s="118">
        <f t="shared" ref="V32:V39" si="18">J32-U32</f>
        <v>0</v>
      </c>
      <c r="W32" s="85">
        <v>0</v>
      </c>
      <c r="X32" s="80">
        <f t="shared" si="13"/>
        <v>4800</v>
      </c>
      <c r="Z32" s="114">
        <f t="shared" si="15"/>
        <v>4800</v>
      </c>
      <c r="AA32" s="115"/>
      <c r="AF32" s="10" t="s">
        <v>105</v>
      </c>
      <c r="AH32" s="153">
        <v>4800</v>
      </c>
    </row>
    <row r="33" spans="1:34" ht="18" customHeight="1">
      <c r="A33" s="10" t="s">
        <v>106</v>
      </c>
      <c r="B33" s="32"/>
      <c r="C33" s="119"/>
      <c r="D33" s="119"/>
      <c r="E33" s="120"/>
      <c r="F33" s="83">
        <f>'Budget Committee'!C15</f>
        <v>12000</v>
      </c>
      <c r="G33" s="61"/>
      <c r="H33" s="61">
        <v>0</v>
      </c>
      <c r="I33" s="61"/>
      <c r="J33" s="82">
        <f t="shared" si="16"/>
        <v>12000</v>
      </c>
      <c r="K33" s="61"/>
      <c r="L33" s="83">
        <f t="shared" ref="L33:L60" si="19">+J33</f>
        <v>12000</v>
      </c>
      <c r="M33" s="61"/>
      <c r="N33" s="61"/>
      <c r="O33" s="61"/>
      <c r="P33" s="61"/>
      <c r="Q33" s="61"/>
      <c r="R33" s="61"/>
      <c r="S33" s="61"/>
      <c r="T33" s="61"/>
      <c r="U33" s="101">
        <f t="shared" si="17"/>
        <v>12000</v>
      </c>
      <c r="V33" s="118">
        <f t="shared" si="18"/>
        <v>0</v>
      </c>
      <c r="W33" s="85">
        <v>0</v>
      </c>
      <c r="X33" s="80">
        <f t="shared" si="13"/>
        <v>12000</v>
      </c>
      <c r="Z33" s="114">
        <f t="shared" si="15"/>
        <v>12000</v>
      </c>
      <c r="AA33" s="115"/>
      <c r="AF33" s="10" t="s">
        <v>106</v>
      </c>
      <c r="AH33" s="153">
        <v>12000</v>
      </c>
    </row>
    <row r="34" spans="1:34" ht="18" customHeight="1">
      <c r="A34" s="10" t="s">
        <v>107</v>
      </c>
      <c r="B34" s="32"/>
      <c r="C34" s="119"/>
      <c r="D34" s="119"/>
      <c r="E34" s="120"/>
      <c r="F34" s="83">
        <f>'Budget Committee'!C16</f>
        <v>6000</v>
      </c>
      <c r="G34" s="61"/>
      <c r="H34" s="61"/>
      <c r="I34" s="61"/>
      <c r="J34" s="82">
        <v>6000</v>
      </c>
      <c r="K34" s="61"/>
      <c r="L34" s="83">
        <v>6000</v>
      </c>
      <c r="M34" s="61"/>
      <c r="N34" s="61"/>
      <c r="O34" s="61"/>
      <c r="P34" s="61"/>
      <c r="Q34" s="61"/>
      <c r="R34" s="61"/>
      <c r="S34" s="61"/>
      <c r="T34" s="61"/>
      <c r="U34" s="101">
        <v>6000</v>
      </c>
      <c r="V34" s="118"/>
      <c r="W34" s="85">
        <v>0</v>
      </c>
      <c r="X34" s="80">
        <f t="shared" si="13"/>
        <v>6000</v>
      </c>
      <c r="Z34" s="114">
        <f t="shared" si="15"/>
        <v>6000</v>
      </c>
      <c r="AA34" s="115"/>
      <c r="AF34" s="10" t="s">
        <v>107</v>
      </c>
      <c r="AH34" s="153">
        <v>6000</v>
      </c>
    </row>
    <row r="35" spans="1:34" ht="18" customHeight="1">
      <c r="A35" s="10" t="s">
        <v>108</v>
      </c>
      <c r="B35" s="8"/>
      <c r="C35" s="119"/>
      <c r="D35" s="119"/>
      <c r="E35" s="120"/>
      <c r="F35" s="83">
        <f>'Budget Committee'!C17</f>
        <v>1500</v>
      </c>
      <c r="G35" s="61"/>
      <c r="H35" s="61">
        <v>0</v>
      </c>
      <c r="I35" s="61"/>
      <c r="J35" s="82">
        <f t="shared" si="16"/>
        <v>1500</v>
      </c>
      <c r="K35" s="61"/>
      <c r="L35" s="83">
        <f t="shared" si="19"/>
        <v>1500</v>
      </c>
      <c r="M35" s="61"/>
      <c r="N35" s="61"/>
      <c r="O35" s="61"/>
      <c r="P35" s="61"/>
      <c r="Q35" s="61"/>
      <c r="R35" s="61"/>
      <c r="S35" s="61"/>
      <c r="T35" s="61"/>
      <c r="U35" s="101">
        <f t="shared" si="17"/>
        <v>1500</v>
      </c>
      <c r="V35" s="118">
        <f t="shared" si="18"/>
        <v>0</v>
      </c>
      <c r="W35" s="85">
        <v>0</v>
      </c>
      <c r="X35" s="80">
        <f t="shared" si="13"/>
        <v>1500</v>
      </c>
      <c r="Z35" s="114">
        <f t="shared" si="15"/>
        <v>1500</v>
      </c>
      <c r="AA35" s="115"/>
      <c r="AF35" s="5" t="s">
        <v>108</v>
      </c>
      <c r="AH35" s="153">
        <v>1500</v>
      </c>
    </row>
    <row r="36" spans="1:34" ht="18" customHeight="1">
      <c r="A36" s="5" t="s">
        <v>109</v>
      </c>
      <c r="B36" s="8"/>
      <c r="C36" s="119"/>
      <c r="D36" s="119"/>
      <c r="E36" s="120"/>
      <c r="F36" s="83">
        <f>'Budget Committee'!C18</f>
        <v>2000</v>
      </c>
      <c r="G36" s="61"/>
      <c r="H36" s="61">
        <v>0</v>
      </c>
      <c r="I36" s="61"/>
      <c r="J36" s="82">
        <f t="shared" si="16"/>
        <v>2000</v>
      </c>
      <c r="K36" s="61"/>
      <c r="L36" s="83">
        <f t="shared" si="19"/>
        <v>2000</v>
      </c>
      <c r="M36" s="61"/>
      <c r="N36" s="61"/>
      <c r="O36" s="61"/>
      <c r="P36" s="61"/>
      <c r="Q36" s="61"/>
      <c r="R36" s="61"/>
      <c r="S36" s="61"/>
      <c r="T36" s="61"/>
      <c r="U36" s="101">
        <f t="shared" si="17"/>
        <v>2000</v>
      </c>
      <c r="V36" s="118">
        <f t="shared" si="18"/>
        <v>0</v>
      </c>
      <c r="W36" s="85">
        <v>0</v>
      </c>
      <c r="X36" s="80">
        <f t="shared" si="13"/>
        <v>2000</v>
      </c>
      <c r="Z36" s="114">
        <f t="shared" si="15"/>
        <v>2000</v>
      </c>
      <c r="AA36" s="115"/>
      <c r="AF36" s="5" t="s">
        <v>109</v>
      </c>
      <c r="AH36" s="153">
        <v>2000</v>
      </c>
    </row>
    <row r="37" spans="1:34" ht="18" customHeight="1">
      <c r="A37" s="5" t="s">
        <v>110</v>
      </c>
      <c r="B37" s="8"/>
      <c r="C37" s="119"/>
      <c r="D37" s="119"/>
      <c r="E37" s="120"/>
      <c r="F37" s="83">
        <f>'Budget Committee'!C19</f>
        <v>0</v>
      </c>
      <c r="G37" s="61"/>
      <c r="H37" s="61"/>
      <c r="I37" s="61"/>
      <c r="J37" s="82">
        <f t="shared" si="16"/>
        <v>0</v>
      </c>
      <c r="K37" s="61"/>
      <c r="L37" s="83">
        <f t="shared" si="19"/>
        <v>0</v>
      </c>
      <c r="M37" s="61"/>
      <c r="N37" s="61"/>
      <c r="O37" s="61"/>
      <c r="P37" s="61"/>
      <c r="Q37" s="61"/>
      <c r="R37" s="61"/>
      <c r="S37" s="61"/>
      <c r="T37" s="61"/>
      <c r="U37" s="101">
        <f t="shared" si="17"/>
        <v>0</v>
      </c>
      <c r="V37" s="118">
        <f t="shared" si="18"/>
        <v>0</v>
      </c>
      <c r="W37" s="85">
        <v>0</v>
      </c>
      <c r="X37" s="80">
        <f t="shared" si="13"/>
        <v>0</v>
      </c>
      <c r="Z37" s="114">
        <f t="shared" si="15"/>
        <v>0</v>
      </c>
      <c r="AA37" s="115"/>
      <c r="AF37" s="5" t="s">
        <v>110</v>
      </c>
      <c r="AH37" s="153">
        <v>0</v>
      </c>
    </row>
    <row r="38" spans="1:34" ht="18" customHeight="1">
      <c r="A38" s="5" t="s">
        <v>111</v>
      </c>
      <c r="B38" s="8"/>
      <c r="C38" s="119"/>
      <c r="D38" s="119"/>
      <c r="E38" s="120"/>
      <c r="F38" s="83">
        <f>'Budget Committee'!C20</f>
        <v>7000</v>
      </c>
      <c r="G38" s="61"/>
      <c r="H38" s="61"/>
      <c r="I38" s="61"/>
      <c r="J38" s="82">
        <f t="shared" si="16"/>
        <v>7000</v>
      </c>
      <c r="K38" s="61"/>
      <c r="L38" s="83">
        <f t="shared" si="19"/>
        <v>7000</v>
      </c>
      <c r="M38" s="61"/>
      <c r="N38" s="61"/>
      <c r="O38" s="61"/>
      <c r="P38" s="61"/>
      <c r="Q38" s="61"/>
      <c r="R38" s="61"/>
      <c r="S38" s="61"/>
      <c r="T38" s="61"/>
      <c r="U38" s="101">
        <f t="shared" si="17"/>
        <v>7000</v>
      </c>
      <c r="V38" s="118">
        <f t="shared" si="18"/>
        <v>0</v>
      </c>
      <c r="W38" s="85">
        <v>0</v>
      </c>
      <c r="X38" s="80">
        <f t="shared" si="13"/>
        <v>7000</v>
      </c>
      <c r="Z38" s="114">
        <f t="shared" si="15"/>
        <v>7000</v>
      </c>
      <c r="AA38" s="115"/>
      <c r="AF38" s="5" t="s">
        <v>111</v>
      </c>
      <c r="AH38" s="153">
        <v>7000</v>
      </c>
    </row>
    <row r="39" spans="1:34" ht="18" customHeight="1">
      <c r="A39" s="5" t="s">
        <v>112</v>
      </c>
      <c r="B39" s="8"/>
      <c r="C39" s="119"/>
      <c r="D39" s="119"/>
      <c r="E39" s="120"/>
      <c r="F39" s="83">
        <v>0</v>
      </c>
      <c r="G39" s="61"/>
      <c r="H39" s="61">
        <v>0</v>
      </c>
      <c r="I39" s="61"/>
      <c r="J39" s="82">
        <f t="shared" si="16"/>
        <v>0</v>
      </c>
      <c r="K39" s="61"/>
      <c r="L39" s="83">
        <f t="shared" si="19"/>
        <v>0</v>
      </c>
      <c r="M39" s="61"/>
      <c r="N39" s="61"/>
      <c r="O39" s="61"/>
      <c r="P39" s="61"/>
      <c r="Q39" s="61"/>
      <c r="R39" s="61"/>
      <c r="S39" s="61">
        <v>0</v>
      </c>
      <c r="T39" s="61"/>
      <c r="U39" s="101">
        <f t="shared" ref="U39:U43" si="20">SUM(L39:T39)</f>
        <v>0</v>
      </c>
      <c r="V39" s="118">
        <f t="shared" si="18"/>
        <v>0</v>
      </c>
      <c r="W39" s="85"/>
      <c r="X39" s="80">
        <f t="shared" si="13"/>
        <v>0</v>
      </c>
      <c r="Z39" s="114">
        <f t="shared" si="15"/>
        <v>0</v>
      </c>
      <c r="AA39" s="115"/>
      <c r="AF39" s="5" t="s">
        <v>112</v>
      </c>
      <c r="AH39" s="153">
        <v>35000</v>
      </c>
    </row>
    <row r="40" spans="1:34" ht="18" customHeight="1">
      <c r="A40" s="5" t="s">
        <v>113</v>
      </c>
      <c r="B40" s="8"/>
      <c r="C40" s="119"/>
      <c r="D40" s="119"/>
      <c r="E40" s="120"/>
      <c r="F40" s="83">
        <v>0</v>
      </c>
      <c r="G40" s="61"/>
      <c r="H40" s="61">
        <v>0</v>
      </c>
      <c r="I40" s="61"/>
      <c r="J40" s="82">
        <f t="shared" si="16"/>
        <v>0</v>
      </c>
      <c r="K40" s="61"/>
      <c r="L40" s="83">
        <f t="shared" si="19"/>
        <v>0</v>
      </c>
      <c r="M40" s="61"/>
      <c r="N40" s="61"/>
      <c r="O40" s="61"/>
      <c r="P40" s="61"/>
      <c r="Q40" s="61"/>
      <c r="R40" s="61"/>
      <c r="S40" s="61"/>
      <c r="T40" s="61"/>
      <c r="U40" s="101">
        <f t="shared" si="20"/>
        <v>0</v>
      </c>
      <c r="V40" s="118"/>
      <c r="W40" s="85"/>
      <c r="X40" s="80">
        <f t="shared" si="13"/>
        <v>0</v>
      </c>
      <c r="Z40" s="114">
        <f t="shared" si="15"/>
        <v>0</v>
      </c>
      <c r="AA40" s="115"/>
      <c r="AF40" s="5" t="s">
        <v>113</v>
      </c>
      <c r="AH40" s="153">
        <v>0</v>
      </c>
    </row>
    <row r="41" spans="1:34" ht="18" customHeight="1">
      <c r="A41" s="5" t="s">
        <v>114</v>
      </c>
      <c r="B41" s="8"/>
      <c r="C41" s="119"/>
      <c r="D41" s="119"/>
      <c r="E41" s="120"/>
      <c r="F41" s="83">
        <v>0</v>
      </c>
      <c r="G41" s="61"/>
      <c r="H41" s="61">
        <v>0</v>
      </c>
      <c r="I41" s="61"/>
      <c r="J41" s="82">
        <f t="shared" si="16"/>
        <v>0</v>
      </c>
      <c r="K41" s="61"/>
      <c r="L41" s="83">
        <f t="shared" si="19"/>
        <v>0</v>
      </c>
      <c r="M41" s="61">
        <v>0</v>
      </c>
      <c r="N41" s="61">
        <v>0</v>
      </c>
      <c r="O41" s="61"/>
      <c r="P41" s="61"/>
      <c r="Q41" s="61"/>
      <c r="R41" s="61"/>
      <c r="S41" s="61"/>
      <c r="T41" s="61"/>
      <c r="U41" s="101">
        <f t="shared" si="20"/>
        <v>0</v>
      </c>
      <c r="V41" s="118"/>
      <c r="W41" s="85"/>
      <c r="X41" s="80">
        <f t="shared" si="13"/>
        <v>0</v>
      </c>
      <c r="Z41" s="114">
        <f t="shared" si="15"/>
        <v>0</v>
      </c>
      <c r="AA41" s="115"/>
      <c r="AF41" s="5" t="s">
        <v>114</v>
      </c>
      <c r="AH41" s="153">
        <v>0</v>
      </c>
    </row>
    <row r="42" spans="1:34" ht="18" customHeight="1">
      <c r="A42" s="5" t="s">
        <v>115</v>
      </c>
      <c r="B42" s="8"/>
      <c r="C42" s="119"/>
      <c r="D42" s="119"/>
      <c r="E42" s="120"/>
      <c r="F42" s="83">
        <v>0</v>
      </c>
      <c r="G42" s="61"/>
      <c r="H42" s="61">
        <v>0</v>
      </c>
      <c r="I42" s="61"/>
      <c r="J42" s="82">
        <f t="shared" si="16"/>
        <v>0</v>
      </c>
      <c r="K42" s="61"/>
      <c r="L42" s="83">
        <f t="shared" si="19"/>
        <v>0</v>
      </c>
      <c r="M42" s="61"/>
      <c r="N42" s="61"/>
      <c r="O42" s="61"/>
      <c r="P42" s="61"/>
      <c r="Q42" s="61"/>
      <c r="R42" s="61"/>
      <c r="S42" s="61"/>
      <c r="T42" s="61"/>
      <c r="U42" s="101">
        <f t="shared" si="20"/>
        <v>0</v>
      </c>
      <c r="V42" s="118">
        <f>J42-U42</f>
        <v>0</v>
      </c>
      <c r="W42" s="85">
        <v>0</v>
      </c>
      <c r="X42" s="80">
        <f t="shared" si="13"/>
        <v>0</v>
      </c>
      <c r="Z42" s="114">
        <f t="shared" si="15"/>
        <v>0</v>
      </c>
      <c r="AA42" s="115"/>
      <c r="AF42" s="5" t="s">
        <v>115</v>
      </c>
      <c r="AH42" s="153">
        <v>0</v>
      </c>
    </row>
    <row r="43" spans="1:34" ht="18" customHeight="1">
      <c r="A43" s="5" t="s">
        <v>112</v>
      </c>
      <c r="B43" s="8"/>
      <c r="C43" s="119"/>
      <c r="D43" s="119"/>
      <c r="E43" s="120"/>
      <c r="F43" s="83">
        <f>'Budget Committee'!C21</f>
        <v>35000</v>
      </c>
      <c r="G43" s="61"/>
      <c r="H43" s="61">
        <v>0</v>
      </c>
      <c r="I43" s="61"/>
      <c r="J43" s="82">
        <f t="shared" si="16"/>
        <v>35000</v>
      </c>
      <c r="K43" s="61"/>
      <c r="L43" s="83">
        <f t="shared" si="19"/>
        <v>35000</v>
      </c>
      <c r="M43" s="61"/>
      <c r="N43" s="61"/>
      <c r="O43" s="61"/>
      <c r="P43" s="61"/>
      <c r="Q43" s="61"/>
      <c r="R43" s="61"/>
      <c r="S43" s="61"/>
      <c r="T43" s="61"/>
      <c r="U43" s="101">
        <f t="shared" si="20"/>
        <v>35000</v>
      </c>
      <c r="V43" s="118"/>
      <c r="W43" s="85"/>
      <c r="X43" s="80">
        <f t="shared" si="13"/>
        <v>35000</v>
      </c>
      <c r="Y43" s="63">
        <f>'Budget Committee'!J21</f>
        <v>23180</v>
      </c>
      <c r="Z43" s="114">
        <f t="shared" si="15"/>
        <v>11820</v>
      </c>
      <c r="AA43" s="115"/>
      <c r="AF43" s="5" t="s">
        <v>116</v>
      </c>
      <c r="AH43" s="153">
        <v>25000</v>
      </c>
    </row>
    <row r="44" spans="1:34" ht="18" customHeight="1">
      <c r="A44" s="5" t="s">
        <v>116</v>
      </c>
      <c r="B44" s="8"/>
      <c r="C44" s="119"/>
      <c r="D44" s="119"/>
      <c r="E44" s="120"/>
      <c r="F44" s="83"/>
      <c r="G44" s="61"/>
      <c r="H44" s="61">
        <f>'Budget Committee'!C25</f>
        <v>25000</v>
      </c>
      <c r="I44" s="61"/>
      <c r="J44" s="82">
        <f t="shared" si="16"/>
        <v>25000</v>
      </c>
      <c r="K44" s="61"/>
      <c r="L44" s="83">
        <f t="shared" si="19"/>
        <v>25000</v>
      </c>
      <c r="M44" s="61"/>
      <c r="N44" s="61"/>
      <c r="O44" s="61"/>
      <c r="P44" s="61"/>
      <c r="Q44" s="61"/>
      <c r="R44" s="61"/>
      <c r="S44" s="61"/>
      <c r="T44" s="61"/>
      <c r="U44" s="101">
        <f t="shared" ref="U44" si="21">SUM(L44:T44)</f>
        <v>25000</v>
      </c>
      <c r="V44" s="118"/>
      <c r="W44" s="85"/>
      <c r="X44" s="80">
        <f t="shared" si="13"/>
        <v>25000</v>
      </c>
      <c r="Y44" s="63">
        <f>'Budget Committee'!I25+'Budget Committee'!J25</f>
        <v>6595.02</v>
      </c>
      <c r="Z44" s="114">
        <f t="shared" si="15"/>
        <v>18404.98</v>
      </c>
      <c r="AA44" s="115"/>
      <c r="AF44" s="5" t="s">
        <v>117</v>
      </c>
      <c r="AH44" s="153">
        <v>3150</v>
      </c>
    </row>
    <row r="45" spans="1:34" ht="18" customHeight="1">
      <c r="A45" s="5" t="s">
        <v>117</v>
      </c>
      <c r="B45" s="8"/>
      <c r="C45" s="119"/>
      <c r="D45" s="119"/>
      <c r="E45" s="120"/>
      <c r="F45" s="83"/>
      <c r="G45" s="61"/>
      <c r="H45" s="61">
        <f>'Budget Committee'!C26</f>
        <v>3150</v>
      </c>
      <c r="I45" s="61"/>
      <c r="J45" s="82">
        <f t="shared" si="16"/>
        <v>3150</v>
      </c>
      <c r="K45" s="61"/>
      <c r="L45" s="83">
        <f t="shared" si="19"/>
        <v>3150</v>
      </c>
      <c r="M45" s="61"/>
      <c r="N45" s="61"/>
      <c r="O45" s="61"/>
      <c r="P45" s="61"/>
      <c r="Q45" s="61"/>
      <c r="R45" s="61"/>
      <c r="S45" s="61"/>
      <c r="T45" s="61"/>
      <c r="U45" s="101">
        <f t="shared" ref="U45:U59" si="22">SUM(L45:T45)</f>
        <v>3150</v>
      </c>
      <c r="V45" s="118"/>
      <c r="W45" s="85"/>
      <c r="X45" s="80">
        <f t="shared" si="13"/>
        <v>3150</v>
      </c>
      <c r="Y45" s="63">
        <f>'Budget Committee'!I26+'Budget Committee'!J26</f>
        <v>3150</v>
      </c>
      <c r="Z45" s="114">
        <f t="shared" si="15"/>
        <v>0</v>
      </c>
      <c r="AA45" s="115"/>
      <c r="AF45" s="5" t="s">
        <v>118</v>
      </c>
      <c r="AH45" s="153">
        <v>161645.14000000001</v>
      </c>
    </row>
    <row r="46" spans="1:34" ht="18" customHeight="1">
      <c r="A46" s="5" t="s">
        <v>118</v>
      </c>
      <c r="B46" s="8"/>
      <c r="C46" s="119"/>
      <c r="D46" s="119"/>
      <c r="E46" s="120"/>
      <c r="F46" s="83"/>
      <c r="G46" s="61"/>
      <c r="H46" s="61">
        <f>'Budget Committee'!C27</f>
        <v>161645.14000000001</v>
      </c>
      <c r="I46" s="61"/>
      <c r="J46" s="82">
        <f t="shared" si="16"/>
        <v>161645.14000000001</v>
      </c>
      <c r="K46" s="61"/>
      <c r="L46" s="83">
        <f t="shared" si="19"/>
        <v>161645.14000000001</v>
      </c>
      <c r="M46" s="61"/>
      <c r="N46" s="61"/>
      <c r="O46" s="61"/>
      <c r="P46" s="61"/>
      <c r="Q46" s="61"/>
      <c r="R46" s="61"/>
      <c r="S46" s="61"/>
      <c r="T46" s="61"/>
      <c r="U46" s="101">
        <f t="shared" si="22"/>
        <v>161645.14000000001</v>
      </c>
      <c r="V46" s="118"/>
      <c r="W46" s="85"/>
      <c r="X46" s="80">
        <f t="shared" si="13"/>
        <v>161645.14000000001</v>
      </c>
      <c r="Y46" s="63">
        <f>'Budget Committee'!J27</f>
        <v>103342.14</v>
      </c>
      <c r="Z46" s="114">
        <f>X46-Y46</f>
        <v>58303.000000000015</v>
      </c>
      <c r="AA46" s="115"/>
      <c r="AF46" s="5" t="s">
        <v>20</v>
      </c>
      <c r="AH46" s="153">
        <v>375880.21</v>
      </c>
    </row>
    <row r="47" spans="1:34" ht="18" customHeight="1">
      <c r="A47" s="5" t="s">
        <v>20</v>
      </c>
      <c r="B47" s="8"/>
      <c r="C47" s="119"/>
      <c r="D47" s="119"/>
      <c r="E47" s="120"/>
      <c r="F47" s="83">
        <v>0</v>
      </c>
      <c r="G47" s="61">
        <v>0</v>
      </c>
      <c r="H47" s="61">
        <f>'Budget Committee'!C28</f>
        <v>375880.21</v>
      </c>
      <c r="I47" s="61"/>
      <c r="J47" s="82">
        <f t="shared" ref="J47" si="23">+F47+H47</f>
        <v>375880.21</v>
      </c>
      <c r="K47" s="61"/>
      <c r="L47" s="83">
        <f t="shared" ref="L47" si="24">+J47</f>
        <v>375880.21</v>
      </c>
      <c r="M47" s="61"/>
      <c r="N47" s="61"/>
      <c r="O47" s="61"/>
      <c r="P47" s="61"/>
      <c r="Q47" s="61"/>
      <c r="R47" s="61"/>
      <c r="S47" s="61"/>
      <c r="T47" s="61"/>
      <c r="U47" s="101">
        <f t="shared" ref="U47" si="25">SUM(L47:T47)</f>
        <v>375880.21</v>
      </c>
      <c r="V47" s="118">
        <f>J47-U47</f>
        <v>0</v>
      </c>
      <c r="W47" s="85"/>
      <c r="X47" s="80">
        <f t="shared" ref="X47" si="26">U47</f>
        <v>375880.21</v>
      </c>
      <c r="Y47" s="63">
        <f>+'Budget Committee'!I28+'Budget Committee'!J28</f>
        <v>160830.54</v>
      </c>
      <c r="Z47" s="114">
        <f>X47-Y47</f>
        <v>215049.67</v>
      </c>
      <c r="AA47" s="115"/>
      <c r="AF47" s="5" t="s">
        <v>119</v>
      </c>
      <c r="AH47" s="153">
        <v>21600</v>
      </c>
    </row>
    <row r="48" spans="1:34" ht="18" customHeight="1">
      <c r="A48" s="5" t="s">
        <v>120</v>
      </c>
      <c r="B48" s="8"/>
      <c r="C48" s="119"/>
      <c r="D48" s="119"/>
      <c r="E48" s="120"/>
      <c r="F48" s="83">
        <v>0</v>
      </c>
      <c r="G48" s="61">
        <v>0</v>
      </c>
      <c r="H48" s="61">
        <f>'Budget Committee'!C29</f>
        <v>21600</v>
      </c>
      <c r="I48" s="61"/>
      <c r="J48" s="82">
        <f t="shared" si="16"/>
        <v>21600</v>
      </c>
      <c r="K48" s="61"/>
      <c r="L48" s="83">
        <f t="shared" si="19"/>
        <v>21600</v>
      </c>
      <c r="M48" s="61"/>
      <c r="N48" s="61"/>
      <c r="O48" s="61"/>
      <c r="P48" s="61"/>
      <c r="Q48" s="61"/>
      <c r="R48" s="61"/>
      <c r="S48" s="61"/>
      <c r="T48" s="61"/>
      <c r="U48" s="101">
        <f t="shared" si="22"/>
        <v>21600</v>
      </c>
      <c r="V48" s="118">
        <f>J48-U48</f>
        <v>0</v>
      </c>
      <c r="W48" s="85"/>
      <c r="X48" s="80">
        <f t="shared" si="13"/>
        <v>21600</v>
      </c>
      <c r="Y48" s="63">
        <f>'Budget Committee'!I29+'Budget Committee'!J29</f>
        <v>46511</v>
      </c>
      <c r="Z48" s="114">
        <f t="shared" si="15"/>
        <v>-24911</v>
      </c>
      <c r="AA48" s="115"/>
      <c r="AF48" s="5" t="s">
        <v>119</v>
      </c>
      <c r="AH48" s="153">
        <v>21600</v>
      </c>
    </row>
    <row r="49" spans="1:34" ht="18" customHeight="1">
      <c r="A49" s="5" t="s">
        <v>121</v>
      </c>
      <c r="B49" s="8"/>
      <c r="C49" s="119"/>
      <c r="D49" s="119"/>
      <c r="E49" s="120"/>
      <c r="F49" s="83">
        <f>'Budget Committee'!C33</f>
        <v>35000</v>
      </c>
      <c r="G49" s="61"/>
      <c r="H49" s="61">
        <v>0</v>
      </c>
      <c r="I49" s="61"/>
      <c r="J49" s="82">
        <f t="shared" si="16"/>
        <v>35000</v>
      </c>
      <c r="K49" s="61"/>
      <c r="L49" s="83">
        <v>35000</v>
      </c>
      <c r="M49" s="61"/>
      <c r="N49" s="61"/>
      <c r="O49" s="61"/>
      <c r="P49" s="61"/>
      <c r="Q49" s="61"/>
      <c r="R49" s="61"/>
      <c r="S49" s="61"/>
      <c r="T49" s="61"/>
      <c r="U49" s="101">
        <f t="shared" si="22"/>
        <v>35000</v>
      </c>
      <c r="V49" s="118"/>
      <c r="W49" s="85">
        <v>0</v>
      </c>
      <c r="X49" s="80">
        <f t="shared" si="13"/>
        <v>35000</v>
      </c>
      <c r="Y49" s="63">
        <f>'Budget Committee'!I33+'Budget Committee'!J33</f>
        <v>1690</v>
      </c>
      <c r="Z49" s="114">
        <f t="shared" si="15"/>
        <v>33310</v>
      </c>
      <c r="AA49" s="115"/>
      <c r="AF49" s="5" t="s">
        <v>14</v>
      </c>
      <c r="AH49" s="153">
        <v>15324</v>
      </c>
    </row>
    <row r="50" spans="1:34" ht="18" customHeight="1">
      <c r="A50" s="5" t="s">
        <v>122</v>
      </c>
      <c r="B50" s="8"/>
      <c r="C50" s="119"/>
      <c r="D50" s="119"/>
      <c r="E50" s="120"/>
      <c r="F50" s="83">
        <f>'Budget Committee'!C34</f>
        <v>100982</v>
      </c>
      <c r="G50" s="61"/>
      <c r="H50" s="61">
        <v>0</v>
      </c>
      <c r="I50" s="61"/>
      <c r="J50" s="82">
        <f>+F50+H50</f>
        <v>100982</v>
      </c>
      <c r="K50" s="61"/>
      <c r="L50" s="83">
        <f t="shared" si="19"/>
        <v>100982</v>
      </c>
      <c r="M50" s="61"/>
      <c r="N50" s="61"/>
      <c r="O50" s="61"/>
      <c r="P50" s="61"/>
      <c r="Q50" s="61"/>
      <c r="R50" s="61"/>
      <c r="S50" s="61"/>
      <c r="T50" s="61"/>
      <c r="U50" s="101">
        <f t="shared" si="22"/>
        <v>100982</v>
      </c>
      <c r="V50" s="118">
        <f>J50-U50</f>
        <v>0</v>
      </c>
      <c r="W50" s="85">
        <v>0</v>
      </c>
      <c r="X50" s="80">
        <f t="shared" si="13"/>
        <v>100982</v>
      </c>
      <c r="Y50" s="63">
        <f>'Budget Committee'!I34+'Budget Committee'!J34</f>
        <v>76443.77</v>
      </c>
      <c r="Z50" s="114">
        <f t="shared" si="15"/>
        <v>24538.229999999996</v>
      </c>
      <c r="AA50" s="115"/>
      <c r="AF50" s="5" t="s">
        <v>16</v>
      </c>
      <c r="AH50" s="153">
        <v>58304</v>
      </c>
    </row>
    <row r="51" spans="1:34" ht="18" customHeight="1">
      <c r="A51" s="5" t="s">
        <v>16</v>
      </c>
      <c r="B51" s="8"/>
      <c r="C51" s="119"/>
      <c r="D51" s="119"/>
      <c r="E51" s="120"/>
      <c r="F51" s="83">
        <f>'Budget Committee'!C32</f>
        <v>58304</v>
      </c>
      <c r="G51" s="61"/>
      <c r="H51" s="61">
        <v>0</v>
      </c>
      <c r="I51" s="61"/>
      <c r="J51" s="82">
        <f>+F51+H51</f>
        <v>58304</v>
      </c>
      <c r="K51" s="61"/>
      <c r="L51" s="83">
        <f t="shared" si="19"/>
        <v>58304</v>
      </c>
      <c r="M51" s="61"/>
      <c r="N51" s="61"/>
      <c r="O51" s="61"/>
      <c r="P51" s="61"/>
      <c r="Q51" s="61"/>
      <c r="R51" s="61"/>
      <c r="S51" s="61"/>
      <c r="T51" s="61"/>
      <c r="U51" s="101">
        <f t="shared" si="22"/>
        <v>58304</v>
      </c>
      <c r="V51" s="118">
        <f>J51-U51</f>
        <v>0</v>
      </c>
      <c r="W51" s="85">
        <v>0</v>
      </c>
      <c r="X51" s="80">
        <f t="shared" si="13"/>
        <v>58304</v>
      </c>
      <c r="Y51" s="63">
        <f>'Budget Committee'!I32+'Budget Committee'!J32</f>
        <v>58303.08</v>
      </c>
      <c r="Z51" s="114">
        <f t="shared" si="15"/>
        <v>0.91999999999825377</v>
      </c>
      <c r="AA51" s="115"/>
      <c r="AF51" s="5" t="s">
        <v>121</v>
      </c>
      <c r="AH51" s="153">
        <v>35000</v>
      </c>
    </row>
    <row r="52" spans="1:34" ht="18" customHeight="1">
      <c r="A52" s="5" t="s">
        <v>123</v>
      </c>
      <c r="B52" s="8"/>
      <c r="C52" s="121"/>
      <c r="D52" s="119"/>
      <c r="E52" s="120"/>
      <c r="F52" s="83">
        <v>0</v>
      </c>
      <c r="G52" s="61"/>
      <c r="H52" s="61">
        <v>0</v>
      </c>
      <c r="I52" s="61"/>
      <c r="J52" s="82">
        <f>+F52+H52</f>
        <v>0</v>
      </c>
      <c r="K52" s="61"/>
      <c r="L52" s="83">
        <f t="shared" si="19"/>
        <v>0</v>
      </c>
      <c r="M52" s="61"/>
      <c r="N52" s="61"/>
      <c r="O52" s="61"/>
      <c r="P52" s="61"/>
      <c r="Q52" s="61"/>
      <c r="R52" s="61"/>
      <c r="S52" s="61"/>
      <c r="T52" s="61"/>
      <c r="U52" s="101">
        <f t="shared" si="22"/>
        <v>0</v>
      </c>
      <c r="V52" s="118">
        <f>J52-U52</f>
        <v>0</v>
      </c>
      <c r="W52" s="85">
        <v>0</v>
      </c>
      <c r="X52" s="80">
        <f t="shared" si="13"/>
        <v>0</v>
      </c>
      <c r="Z52" s="114">
        <f t="shared" si="15"/>
        <v>0</v>
      </c>
      <c r="AA52" s="115"/>
      <c r="AF52" s="5" t="s">
        <v>124</v>
      </c>
      <c r="AH52" s="153">
        <v>100982</v>
      </c>
    </row>
    <row r="53" spans="1:34" ht="18" customHeight="1">
      <c r="A53" s="5" t="s">
        <v>125</v>
      </c>
      <c r="B53" s="8"/>
      <c r="C53" s="121"/>
      <c r="D53" s="119"/>
      <c r="E53" s="120"/>
      <c r="F53" s="83">
        <v>0</v>
      </c>
      <c r="G53" s="61"/>
      <c r="H53" s="122">
        <v>0</v>
      </c>
      <c r="I53" s="61"/>
      <c r="J53" s="82">
        <f>+H53+F53</f>
        <v>0</v>
      </c>
      <c r="K53" s="61"/>
      <c r="L53" s="83">
        <f t="shared" si="19"/>
        <v>0</v>
      </c>
      <c r="M53" s="61"/>
      <c r="N53" s="61"/>
      <c r="O53" s="61"/>
      <c r="P53" s="61"/>
      <c r="Q53" s="61"/>
      <c r="R53" s="61"/>
      <c r="S53" s="61"/>
      <c r="T53" s="61"/>
      <c r="U53" s="101">
        <f t="shared" si="22"/>
        <v>0</v>
      </c>
      <c r="V53" s="118"/>
      <c r="W53" s="85">
        <v>0</v>
      </c>
      <c r="X53" s="80">
        <f t="shared" si="13"/>
        <v>0</v>
      </c>
      <c r="Z53" s="114">
        <f t="shared" si="15"/>
        <v>0</v>
      </c>
      <c r="AA53" s="115"/>
      <c r="AF53" s="5" t="s">
        <v>126</v>
      </c>
      <c r="AH53" s="153">
        <v>0</v>
      </c>
    </row>
    <row r="54" spans="1:34" ht="18" customHeight="1">
      <c r="A54" s="10" t="s">
        <v>18</v>
      </c>
      <c r="B54" s="8"/>
      <c r="C54" s="121"/>
      <c r="D54" s="119"/>
      <c r="E54" s="120"/>
      <c r="F54" s="83">
        <f>'Budget Committee'!C30</f>
        <v>15324</v>
      </c>
      <c r="G54" s="61"/>
      <c r="H54" s="122">
        <v>0</v>
      </c>
      <c r="I54" s="61"/>
      <c r="J54" s="82">
        <f>+H54+F54</f>
        <v>15324</v>
      </c>
      <c r="K54" s="61"/>
      <c r="L54" s="83">
        <f t="shared" si="19"/>
        <v>15324</v>
      </c>
      <c r="M54" s="61"/>
      <c r="N54" s="61"/>
      <c r="O54" s="61"/>
      <c r="P54" s="61"/>
      <c r="Q54" s="61"/>
      <c r="R54" s="61"/>
      <c r="S54" s="61"/>
      <c r="T54" s="61"/>
      <c r="U54" s="101">
        <f t="shared" si="22"/>
        <v>15324</v>
      </c>
      <c r="V54" s="118"/>
      <c r="W54" s="85">
        <v>0</v>
      </c>
      <c r="X54" s="80">
        <f t="shared" si="13"/>
        <v>15324</v>
      </c>
      <c r="Y54" s="63">
        <f>'Budget Committee'!I30+'Budget Committee'!J30</f>
        <v>5000</v>
      </c>
      <c r="Z54" s="114">
        <f t="shared" si="15"/>
        <v>10324</v>
      </c>
      <c r="AA54" s="115"/>
      <c r="AF54" s="5" t="s">
        <v>127</v>
      </c>
      <c r="AH54" s="153">
        <v>5000</v>
      </c>
    </row>
    <row r="55" spans="1:34" ht="18" customHeight="1">
      <c r="A55" s="10" t="s">
        <v>14</v>
      </c>
      <c r="B55" s="8"/>
      <c r="C55" s="121"/>
      <c r="D55" s="119"/>
      <c r="E55" s="120"/>
      <c r="F55" s="83">
        <f>'Budget Committee'!C31</f>
        <v>11493</v>
      </c>
      <c r="G55" s="61"/>
      <c r="H55" s="122">
        <v>0</v>
      </c>
      <c r="I55" s="61"/>
      <c r="J55" s="82">
        <f t="shared" ref="J55:J60" si="27">+F55+H55</f>
        <v>11493</v>
      </c>
      <c r="K55" s="61"/>
      <c r="L55" s="83">
        <f t="shared" si="19"/>
        <v>11493</v>
      </c>
      <c r="M55" s="61"/>
      <c r="N55" s="61"/>
      <c r="O55" s="61"/>
      <c r="P55" s="61"/>
      <c r="Q55" s="61"/>
      <c r="R55" s="61"/>
      <c r="S55" s="61"/>
      <c r="T55" s="61"/>
      <c r="U55" s="101">
        <f t="shared" si="22"/>
        <v>11493</v>
      </c>
      <c r="V55" s="118"/>
      <c r="W55" s="85">
        <v>0</v>
      </c>
      <c r="X55" s="80">
        <f t="shared" si="13"/>
        <v>11493</v>
      </c>
      <c r="Y55" s="63">
        <f>'Budget Committee'!I31+'Budget Committee'!J31</f>
        <v>0</v>
      </c>
      <c r="Z55" s="114">
        <f t="shared" si="15"/>
        <v>11493</v>
      </c>
      <c r="AA55" s="115"/>
      <c r="AF55" s="5" t="s">
        <v>123</v>
      </c>
      <c r="AH55" s="153">
        <v>0</v>
      </c>
    </row>
    <row r="56" spans="1:34" ht="18" customHeight="1">
      <c r="A56" s="10" t="s">
        <v>128</v>
      </c>
      <c r="B56" s="8"/>
      <c r="C56" s="121"/>
      <c r="D56" s="119"/>
      <c r="E56" s="120"/>
      <c r="F56" s="83">
        <f>'Budget Committee'!C36</f>
        <v>5000</v>
      </c>
      <c r="G56" s="61"/>
      <c r="H56" s="61">
        <v>0</v>
      </c>
      <c r="I56" s="61"/>
      <c r="J56" s="82">
        <f t="shared" si="27"/>
        <v>5000</v>
      </c>
      <c r="K56" s="61"/>
      <c r="L56" s="83">
        <f t="shared" si="19"/>
        <v>5000</v>
      </c>
      <c r="M56" s="61"/>
      <c r="N56" s="61"/>
      <c r="O56" s="61"/>
      <c r="P56" s="61"/>
      <c r="Q56" s="61"/>
      <c r="R56" s="61"/>
      <c r="S56" s="61"/>
      <c r="T56" s="61"/>
      <c r="U56" s="101">
        <f t="shared" si="22"/>
        <v>5000</v>
      </c>
      <c r="V56" s="118"/>
      <c r="W56" s="85">
        <v>0</v>
      </c>
      <c r="X56" s="80">
        <f t="shared" si="13"/>
        <v>5000</v>
      </c>
      <c r="Z56" s="114">
        <f t="shared" si="15"/>
        <v>5000</v>
      </c>
      <c r="AA56" s="115"/>
      <c r="AF56" s="10" t="s">
        <v>125</v>
      </c>
      <c r="AH56" s="153">
        <v>0</v>
      </c>
    </row>
    <row r="57" spans="1:34" ht="18" customHeight="1">
      <c r="A57" s="10" t="s">
        <v>129</v>
      </c>
      <c r="B57" s="8"/>
      <c r="C57" s="121"/>
      <c r="D57" s="119"/>
      <c r="E57" s="120"/>
      <c r="F57" s="83">
        <v>0</v>
      </c>
      <c r="G57" s="61"/>
      <c r="H57" s="61">
        <v>0</v>
      </c>
      <c r="I57" s="61"/>
      <c r="J57" s="82">
        <f t="shared" si="27"/>
        <v>0</v>
      </c>
      <c r="K57" s="61"/>
      <c r="L57" s="83">
        <f t="shared" si="19"/>
        <v>0</v>
      </c>
      <c r="M57" s="61"/>
      <c r="N57" s="61"/>
      <c r="O57" s="61"/>
      <c r="P57" s="61"/>
      <c r="Q57" s="61"/>
      <c r="R57" s="61"/>
      <c r="S57" s="61"/>
      <c r="T57" s="61"/>
      <c r="U57" s="101">
        <f t="shared" si="22"/>
        <v>0</v>
      </c>
      <c r="V57" s="118"/>
      <c r="W57" s="85">
        <v>0</v>
      </c>
      <c r="X57" s="80">
        <f t="shared" si="13"/>
        <v>0</v>
      </c>
      <c r="Z57" s="114">
        <f t="shared" si="15"/>
        <v>0</v>
      </c>
      <c r="AA57" s="115"/>
      <c r="AF57" s="10" t="s">
        <v>130</v>
      </c>
      <c r="AH57" s="153">
        <v>0</v>
      </c>
    </row>
    <row r="58" spans="1:34" ht="18" customHeight="1">
      <c r="A58" s="10" t="s">
        <v>131</v>
      </c>
      <c r="B58" s="8"/>
      <c r="C58" s="121"/>
      <c r="D58" s="119"/>
      <c r="E58" s="120"/>
      <c r="F58" s="83">
        <v>0</v>
      </c>
      <c r="G58" s="61"/>
      <c r="H58" s="61">
        <v>0</v>
      </c>
      <c r="I58" s="61"/>
      <c r="J58" s="82">
        <f t="shared" si="27"/>
        <v>0</v>
      </c>
      <c r="K58" s="61"/>
      <c r="L58" s="83">
        <f t="shared" si="19"/>
        <v>0</v>
      </c>
      <c r="M58" s="61"/>
      <c r="N58" s="61"/>
      <c r="O58" s="61"/>
      <c r="P58" s="61"/>
      <c r="Q58" s="61"/>
      <c r="R58" s="61"/>
      <c r="S58" s="61"/>
      <c r="T58" s="61"/>
      <c r="U58" s="101">
        <f t="shared" si="22"/>
        <v>0</v>
      </c>
      <c r="V58" s="118"/>
      <c r="W58" s="85">
        <v>0</v>
      </c>
      <c r="X58" s="80">
        <f t="shared" si="13"/>
        <v>0</v>
      </c>
      <c r="Z58" s="114">
        <f t="shared" si="15"/>
        <v>0</v>
      </c>
      <c r="AA58" s="115"/>
      <c r="AF58" s="10" t="s">
        <v>132</v>
      </c>
      <c r="AH58" s="153">
        <v>0</v>
      </c>
    </row>
    <row r="59" spans="1:34" ht="18" customHeight="1">
      <c r="A59" s="5" t="s">
        <v>133</v>
      </c>
      <c r="B59" s="8"/>
      <c r="C59" s="119"/>
      <c r="D59" s="119"/>
      <c r="E59" s="120"/>
      <c r="F59" s="83">
        <v>0</v>
      </c>
      <c r="G59" s="61"/>
      <c r="H59" s="61"/>
      <c r="I59" s="61"/>
      <c r="J59" s="82">
        <f t="shared" si="27"/>
        <v>0</v>
      </c>
      <c r="K59" s="61"/>
      <c r="L59" s="83">
        <f t="shared" si="19"/>
        <v>0</v>
      </c>
      <c r="M59" s="61"/>
      <c r="N59" s="61"/>
      <c r="O59" s="61"/>
      <c r="P59" s="61"/>
      <c r="Q59" s="61"/>
      <c r="R59" s="61"/>
      <c r="S59" s="61"/>
      <c r="T59" s="61"/>
      <c r="U59" s="101">
        <f t="shared" si="22"/>
        <v>0</v>
      </c>
      <c r="V59" s="118">
        <f>J59-U59</f>
        <v>0</v>
      </c>
      <c r="W59" s="85">
        <v>0</v>
      </c>
      <c r="X59" s="80">
        <f t="shared" si="13"/>
        <v>0</v>
      </c>
      <c r="Z59" s="114">
        <f t="shared" si="15"/>
        <v>0</v>
      </c>
      <c r="AA59" s="115"/>
      <c r="AF59" s="10" t="s">
        <v>134</v>
      </c>
      <c r="AH59" s="153">
        <v>0</v>
      </c>
    </row>
    <row r="60" spans="1:34" ht="18" customHeight="1">
      <c r="A60" s="10" t="s">
        <v>135</v>
      </c>
      <c r="B60" s="8"/>
      <c r="C60" s="119"/>
      <c r="D60" s="119"/>
      <c r="E60" s="120"/>
      <c r="F60" s="83">
        <f>'Budget Committee'!C42</f>
        <v>20000</v>
      </c>
      <c r="G60" s="61"/>
      <c r="H60" s="61"/>
      <c r="I60" s="61"/>
      <c r="J60" s="82">
        <f t="shared" si="27"/>
        <v>20000</v>
      </c>
      <c r="K60" s="61"/>
      <c r="L60" s="83">
        <f t="shared" si="19"/>
        <v>20000</v>
      </c>
      <c r="M60" s="61"/>
      <c r="N60" s="61"/>
      <c r="O60" s="61"/>
      <c r="P60" s="61"/>
      <c r="Q60" s="61"/>
      <c r="R60" s="61"/>
      <c r="S60" s="61"/>
      <c r="T60" s="61"/>
      <c r="U60" s="101">
        <f>SUM(L60:T60)</f>
        <v>20000</v>
      </c>
      <c r="V60" s="118"/>
      <c r="W60" s="85"/>
      <c r="X60" s="80">
        <f>U60</f>
        <v>20000</v>
      </c>
      <c r="Y60" s="63">
        <f>'Budget Committee'!I42+'Budget Committee'!J42</f>
        <v>1155</v>
      </c>
      <c r="Z60" s="114">
        <f t="shared" si="15"/>
        <v>18845</v>
      </c>
      <c r="AA60" s="115"/>
      <c r="AF60" s="10" t="s">
        <v>27</v>
      </c>
      <c r="AH60" s="153">
        <v>20000</v>
      </c>
    </row>
    <row r="61" spans="1:34" ht="18" customHeight="1">
      <c r="A61" s="10" t="s">
        <v>136</v>
      </c>
      <c r="B61" s="8"/>
      <c r="C61" s="119"/>
      <c r="D61" s="119"/>
      <c r="E61" s="120"/>
      <c r="F61" s="83"/>
      <c r="G61" s="61"/>
      <c r="H61" s="61"/>
      <c r="I61" s="61"/>
      <c r="J61" s="82"/>
      <c r="K61" s="61"/>
      <c r="L61" s="83">
        <v>0</v>
      </c>
      <c r="M61" s="61">
        <v>0</v>
      </c>
      <c r="N61" s="61">
        <f>'Child Ctr'!G13-'Child Ctr'!G11</f>
        <v>0</v>
      </c>
      <c r="O61" s="61">
        <f>'Study Away'!G14-'Study Away'!G11</f>
        <v>0</v>
      </c>
      <c r="P61" s="61">
        <f>'Game Room'!G20-'Game Room'!G13</f>
        <v>0</v>
      </c>
      <c r="Q61" s="61">
        <v>0</v>
      </c>
      <c r="R61" s="61">
        <f>'A.P.A.F.'!H17-'A.P.A.F.'!H11</f>
        <v>0</v>
      </c>
      <c r="S61" s="61">
        <v>0</v>
      </c>
      <c r="T61" s="61">
        <v>0</v>
      </c>
      <c r="U61" s="101">
        <f>SUM(L61:T61)</f>
        <v>0</v>
      </c>
      <c r="V61" s="118"/>
      <c r="W61" s="85"/>
      <c r="X61" s="80">
        <f>U61</f>
        <v>0</v>
      </c>
      <c r="Z61" s="114">
        <f t="shared" si="15"/>
        <v>0</v>
      </c>
      <c r="AA61" s="115"/>
    </row>
    <row r="62" spans="1:34" ht="18" customHeight="1">
      <c r="A62" s="64" t="s">
        <v>137</v>
      </c>
      <c r="B62" s="8"/>
      <c r="C62" s="119"/>
      <c r="D62" s="119"/>
      <c r="E62" s="120"/>
      <c r="F62" s="123">
        <f>SUM(F31:F61)</f>
        <v>394403</v>
      </c>
      <c r="G62" s="124"/>
      <c r="H62" s="125">
        <f>SUM(H31:H61)</f>
        <v>587275.35000000009</v>
      </c>
      <c r="I62" s="124"/>
      <c r="J62" s="126">
        <f>SUM(J31:J61)</f>
        <v>981678.35000000009</v>
      </c>
      <c r="K62" s="124"/>
      <c r="L62" s="123">
        <f>SUM(L31:L61)</f>
        <v>925478.35000000009</v>
      </c>
      <c r="M62" s="124">
        <f t="shared" ref="M62:U62" si="28">SUM(M23:M61)</f>
        <v>314400</v>
      </c>
      <c r="N62" s="124">
        <f t="shared" si="28"/>
        <v>11800</v>
      </c>
      <c r="O62" s="124">
        <f t="shared" si="28"/>
        <v>32302</v>
      </c>
      <c r="P62" s="124">
        <f t="shared" si="28"/>
        <v>7000</v>
      </c>
      <c r="Q62" s="124">
        <f t="shared" si="28"/>
        <v>67527</v>
      </c>
      <c r="R62" s="124">
        <f t="shared" si="28"/>
        <v>4700</v>
      </c>
      <c r="S62" s="124">
        <f t="shared" si="28"/>
        <v>140837</v>
      </c>
      <c r="T62" s="124">
        <f t="shared" si="28"/>
        <v>109945</v>
      </c>
      <c r="U62" s="124">
        <f t="shared" si="28"/>
        <v>1613989.35</v>
      </c>
      <c r="V62" s="80">
        <f>SUM(V31:V59)</f>
        <v>0</v>
      </c>
      <c r="W62" s="127">
        <f>SUM(W23:W61)</f>
        <v>0</v>
      </c>
      <c r="X62" s="92">
        <f>SUM(X23:X61)</f>
        <v>1613989.35</v>
      </c>
      <c r="Y62" s="234">
        <f>SUM(Y23:Y61)</f>
        <v>796474.97</v>
      </c>
      <c r="Z62" s="92">
        <f>SUM(Z23:Z61)</f>
        <v>817514.38</v>
      </c>
    </row>
    <row r="63" spans="1:34" ht="18" customHeight="1">
      <c r="A63" s="86" t="s">
        <v>138</v>
      </c>
      <c r="B63" s="9"/>
      <c r="C63" s="128"/>
      <c r="D63" s="129"/>
      <c r="E63" s="130"/>
      <c r="F63" s="89">
        <f>+F20-F62</f>
        <v>226626.08499999996</v>
      </c>
      <c r="G63" s="90"/>
      <c r="H63" s="90">
        <f>+H20-H62</f>
        <v>-73156.000000000116</v>
      </c>
      <c r="I63" s="90"/>
      <c r="J63" s="91">
        <f>+J20-J62</f>
        <v>153470.08499999996</v>
      </c>
      <c r="K63" s="106"/>
      <c r="L63" s="108">
        <f t="shared" ref="L63:T63" si="29">L20-L62</f>
        <v>-457359.02500000008</v>
      </c>
      <c r="M63" s="109">
        <f t="shared" si="29"/>
        <v>-114399.70000000001</v>
      </c>
      <c r="N63" s="109">
        <f t="shared" si="29"/>
        <v>26509.5</v>
      </c>
      <c r="O63" s="109">
        <f t="shared" si="29"/>
        <v>-4299.5999999999985</v>
      </c>
      <c r="P63" s="109">
        <f t="shared" si="29"/>
        <v>15985.699999999997</v>
      </c>
      <c r="Q63" s="109">
        <f t="shared" si="29"/>
        <v>-11528.400000000001</v>
      </c>
      <c r="R63" s="109">
        <f t="shared" si="29"/>
        <v>10623.8</v>
      </c>
      <c r="S63" s="109">
        <f t="shared" si="29"/>
        <v>130214.60999999999</v>
      </c>
      <c r="T63" s="109">
        <f t="shared" si="29"/>
        <v>-74587.8</v>
      </c>
      <c r="U63" s="131">
        <f>+U20-U62</f>
        <v>-478840.91500000004</v>
      </c>
      <c r="V63" s="124">
        <f>V20-V62</f>
        <v>0</v>
      </c>
      <c r="W63" s="127">
        <f>+W20-W62</f>
        <v>802135</v>
      </c>
      <c r="X63" s="132">
        <f>U63</f>
        <v>-478840.91500000004</v>
      </c>
      <c r="Y63" s="132">
        <f>V63</f>
        <v>0</v>
      </c>
      <c r="Z63" s="132">
        <f>X63-Y63</f>
        <v>-478840.91500000004</v>
      </c>
      <c r="AA63" s="80"/>
    </row>
    <row r="64" spans="1:34" ht="18" customHeight="1">
      <c r="A64" s="94" t="s">
        <v>139</v>
      </c>
      <c r="B64" s="87"/>
      <c r="C64" s="133"/>
      <c r="D64" s="134"/>
      <c r="E64" s="135"/>
      <c r="F64" s="136">
        <f>+F62+F63</f>
        <v>621029.08499999996</v>
      </c>
      <c r="G64" s="137">
        <f t="shared" ref="G64:W64" si="30">+G62+G63</f>
        <v>0</v>
      </c>
      <c r="H64" s="137">
        <f>+H62+H63</f>
        <v>514119.35</v>
      </c>
      <c r="I64" s="137">
        <f t="shared" si="30"/>
        <v>0</v>
      </c>
      <c r="J64" s="138">
        <f>+J62+J63</f>
        <v>1135148.4350000001</v>
      </c>
      <c r="K64" s="132">
        <f t="shared" si="30"/>
        <v>0</v>
      </c>
      <c r="L64" s="203">
        <f t="shared" si="30"/>
        <v>468119.32500000001</v>
      </c>
      <c r="M64" s="223">
        <f t="shared" si="30"/>
        <v>200000.3</v>
      </c>
      <c r="N64" s="223">
        <f t="shared" si="30"/>
        <v>38309.5</v>
      </c>
      <c r="O64" s="223">
        <f t="shared" si="30"/>
        <v>28002.400000000001</v>
      </c>
      <c r="P64" s="223">
        <f t="shared" si="30"/>
        <v>22985.699999999997</v>
      </c>
      <c r="Q64" s="223">
        <f t="shared" si="30"/>
        <v>55998.6</v>
      </c>
      <c r="R64" s="223">
        <f t="shared" si="30"/>
        <v>15323.8</v>
      </c>
      <c r="S64" s="223">
        <f t="shared" si="30"/>
        <v>271051.61</v>
      </c>
      <c r="T64" s="223">
        <f t="shared" si="30"/>
        <v>35357.199999999997</v>
      </c>
      <c r="U64" s="138">
        <f t="shared" si="30"/>
        <v>1135148.4350000001</v>
      </c>
      <c r="V64" s="139">
        <f t="shared" si="30"/>
        <v>0</v>
      </c>
      <c r="W64" s="140">
        <f t="shared" si="30"/>
        <v>802135</v>
      </c>
      <c r="X64" s="92">
        <f>X63+X62</f>
        <v>1135148.4350000001</v>
      </c>
      <c r="Y64" s="92">
        <f>Y63+Y62</f>
        <v>796474.97</v>
      </c>
      <c r="Z64" s="92">
        <f>Z63+Z62</f>
        <v>338673.46499999997</v>
      </c>
      <c r="AA64" s="80"/>
    </row>
    <row r="65" spans="1:25" ht="18" customHeight="1">
      <c r="A65" s="7"/>
      <c r="F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</row>
    <row r="66" spans="1:25" s="142" customFormat="1" ht="18" customHeight="1">
      <c r="A66" s="64"/>
      <c r="B66" s="141"/>
      <c r="F66" s="143"/>
      <c r="L66" s="143"/>
      <c r="S66" s="143"/>
      <c r="U66" s="143"/>
      <c r="Y66" s="235"/>
    </row>
    <row r="67" spans="1:25" ht="18" customHeight="1">
      <c r="A67" s="144"/>
      <c r="L67" s="80"/>
      <c r="M67" s="80"/>
      <c r="N67" s="80"/>
      <c r="O67" s="80"/>
      <c r="P67" s="80"/>
      <c r="Q67" s="80"/>
      <c r="R67" s="80"/>
      <c r="S67" s="80"/>
      <c r="T67" s="80"/>
      <c r="U67" s="80"/>
    </row>
    <row r="68" spans="1:25" ht="18" customHeight="1" thickBot="1">
      <c r="A68" s="62"/>
      <c r="B68" s="145"/>
      <c r="H68" s="80"/>
      <c r="J68" s="80"/>
      <c r="L68" s="85"/>
      <c r="M68" s="85"/>
      <c r="N68" s="85"/>
      <c r="O68" s="85"/>
      <c r="P68" s="85"/>
      <c r="Q68" s="85"/>
      <c r="R68" s="85"/>
      <c r="S68" s="85"/>
      <c r="T68" s="85"/>
      <c r="U68" s="85"/>
    </row>
    <row r="69" spans="1:25" ht="18" customHeight="1">
      <c r="A69" s="236" t="s">
        <v>140</v>
      </c>
      <c r="B69" s="237"/>
      <c r="C69" s="238"/>
      <c r="D69" s="238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/>
      <c r="P69" s="238"/>
      <c r="Q69" s="238"/>
      <c r="R69" s="238"/>
      <c r="S69" s="238"/>
      <c r="T69" s="238"/>
      <c r="U69" s="238"/>
      <c r="V69" s="238"/>
      <c r="W69" s="238"/>
      <c r="X69" s="239">
        <v>989570</v>
      </c>
    </row>
    <row r="70" spans="1:25" s="146" customFormat="1" ht="18" customHeight="1">
      <c r="A70" s="240" t="s">
        <v>141</v>
      </c>
      <c r="B70" s="241"/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02"/>
      <c r="T70" s="202"/>
      <c r="U70" s="202"/>
      <c r="V70" s="202"/>
      <c r="W70" s="202"/>
      <c r="X70" s="242">
        <f>-X19</f>
        <v>-615101.35</v>
      </c>
      <c r="Y70" s="85"/>
    </row>
    <row r="71" spans="1:25" ht="18" customHeight="1">
      <c r="A71" s="243" t="s">
        <v>142</v>
      </c>
      <c r="B71" s="241"/>
      <c r="C71" s="202"/>
      <c r="D71" s="202"/>
      <c r="E71" s="202"/>
      <c r="F71" s="202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02"/>
      <c r="T71" s="202"/>
      <c r="U71" s="202"/>
      <c r="V71" s="202"/>
      <c r="W71" s="202"/>
      <c r="X71" s="242">
        <f>X63</f>
        <v>-478840.91500000004</v>
      </c>
    </row>
    <row r="72" spans="1:25" ht="18" customHeight="1" thickBot="1">
      <c r="A72" s="244" t="s">
        <v>143</v>
      </c>
      <c r="B72" s="245"/>
      <c r="C72" s="246"/>
      <c r="D72" s="246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  <c r="R72" s="246"/>
      <c r="S72" s="246"/>
      <c r="T72" s="246"/>
      <c r="U72" s="246"/>
      <c r="V72" s="246"/>
      <c r="W72" s="246"/>
      <c r="X72" s="247">
        <f>X69+X70+X71</f>
        <v>-104372.26500000001</v>
      </c>
    </row>
    <row r="75" spans="1:25" ht="18" customHeight="1">
      <c r="A75" s="64" t="s">
        <v>144</v>
      </c>
    </row>
    <row r="76" spans="1:25" ht="18" customHeight="1">
      <c r="A76" s="199" t="s">
        <v>145</v>
      </c>
    </row>
  </sheetData>
  <mergeCells count="3">
    <mergeCell ref="A1:U1"/>
    <mergeCell ref="A2:U2"/>
    <mergeCell ref="A3:U3"/>
  </mergeCells>
  <printOptions horizontalCentered="1"/>
  <pageMargins left="0.2" right="0.2" top="0.5" bottom="0.25" header="0.3" footer="0.3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89975-4BBB-40ED-A8DF-5837C46D2835}">
  <sheetPr>
    <tabColor theme="3" tint="0.39997558519241921"/>
  </sheetPr>
  <dimension ref="A1:P75"/>
  <sheetViews>
    <sheetView topLeftCell="A8" zoomScaleNormal="100" zoomScaleSheetLayoutView="100" workbookViewId="0">
      <selection activeCell="I28" sqref="I28"/>
    </sheetView>
  </sheetViews>
  <sheetFormatPr defaultColWidth="9.140625" defaultRowHeight="15"/>
  <cols>
    <col min="1" max="1" width="37" style="62" customWidth="1"/>
    <col min="2" max="2" width="1.7109375" style="62" customWidth="1"/>
    <col min="3" max="3" width="10.5703125" style="62" bestFit="1" customWidth="1"/>
    <col min="4" max="4" width="1.7109375" style="62" customWidth="1"/>
    <col min="5" max="5" width="12.140625" style="62" customWidth="1"/>
    <col min="6" max="6" width="1.7109375" style="62" customWidth="1"/>
    <col min="7" max="7" width="11.7109375" style="62" bestFit="1" customWidth="1"/>
    <col min="8" max="8" width="1.7109375" style="62" customWidth="1"/>
    <col min="9" max="9" width="15.28515625" style="62" customWidth="1"/>
    <col min="10" max="10" width="13.140625" style="62" customWidth="1"/>
    <col min="11" max="11" width="1.7109375" style="62" customWidth="1"/>
    <col min="12" max="12" width="10.42578125" style="85" customWidth="1"/>
    <col min="13" max="16384" width="9.140625" style="62"/>
  </cols>
  <sheetData>
    <row r="1" spans="1:16">
      <c r="A1" s="258" t="s">
        <v>65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</row>
    <row r="2" spans="1:16">
      <c r="A2" s="258" t="s">
        <v>146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</row>
    <row r="3" spans="1:16">
      <c r="A3" s="258" t="s">
        <v>147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</row>
    <row r="4" spans="1:16" ht="15" customHeight="1">
      <c r="A4" s="258" t="str">
        <f>'Allocation '!A3:U3</f>
        <v>As of March 31, 2025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</row>
    <row r="5" spans="1:16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147"/>
    </row>
    <row r="6" spans="1:16" ht="30.75" thickBot="1">
      <c r="A6" s="148" t="s">
        <v>68</v>
      </c>
      <c r="B6" s="149"/>
      <c r="C6" s="75" t="s">
        <v>72</v>
      </c>
      <c r="D6" s="150"/>
      <c r="E6" s="75" t="s">
        <v>73</v>
      </c>
      <c r="F6" s="150"/>
      <c r="G6" s="75" t="s">
        <v>74</v>
      </c>
      <c r="H6" s="150"/>
      <c r="I6" s="34" t="s">
        <v>148</v>
      </c>
      <c r="J6" s="34" t="s">
        <v>149</v>
      </c>
      <c r="K6" s="35"/>
      <c r="L6" s="151" t="s">
        <v>150</v>
      </c>
    </row>
    <row r="7" spans="1:16">
      <c r="A7" s="62" t="s">
        <v>151</v>
      </c>
      <c r="C7" s="61">
        <f>'Allocation '!L7</f>
        <v>20145</v>
      </c>
      <c r="D7" s="152"/>
      <c r="E7" s="153"/>
      <c r="F7" s="152"/>
      <c r="G7" s="122">
        <f>+C7+E7</f>
        <v>20145</v>
      </c>
      <c r="H7" s="152"/>
      <c r="I7" s="152"/>
      <c r="J7" s="122">
        <v>0</v>
      </c>
      <c r="K7" s="154"/>
      <c r="L7" s="118">
        <f>G7-I7-J7</f>
        <v>20145</v>
      </c>
      <c r="M7" s="115"/>
    </row>
    <row r="8" spans="1:16">
      <c r="A8" s="62" t="s">
        <v>90</v>
      </c>
      <c r="C8" s="152">
        <f>'Allocation '!L12</f>
        <v>70578.814999999988</v>
      </c>
      <c r="D8" s="152"/>
      <c r="E8" s="153"/>
      <c r="F8" s="152"/>
      <c r="G8" s="122">
        <f t="shared" ref="G8:G10" si="0">+C8+E8</f>
        <v>70578.814999999988</v>
      </c>
      <c r="H8" s="152"/>
      <c r="I8" s="152"/>
      <c r="J8" s="122">
        <v>0</v>
      </c>
      <c r="K8" s="154"/>
      <c r="L8" s="118">
        <f>G8-I8-J8</f>
        <v>70578.814999999988</v>
      </c>
    </row>
    <row r="9" spans="1:16">
      <c r="A9" s="62" t="s">
        <v>93</v>
      </c>
      <c r="C9" s="153">
        <f>'Allocation '!L16</f>
        <v>65018.369999999995</v>
      </c>
      <c r="D9" s="152"/>
      <c r="E9" s="153"/>
      <c r="F9" s="152"/>
      <c r="G9" s="122">
        <f t="shared" si="0"/>
        <v>65018.369999999995</v>
      </c>
      <c r="H9" s="152"/>
      <c r="I9" s="152"/>
      <c r="J9" s="122">
        <v>0</v>
      </c>
      <c r="K9" s="154"/>
      <c r="L9" s="118">
        <f>G9-I9-J9</f>
        <v>65018.369999999995</v>
      </c>
    </row>
    <row r="10" spans="1:16">
      <c r="A10" s="62" t="s">
        <v>152</v>
      </c>
      <c r="C10" s="61">
        <f>'Allocation '!F19</f>
        <v>100982</v>
      </c>
      <c r="D10" s="152"/>
      <c r="E10" s="153">
        <f>'Allocation '!L19-100982</f>
        <v>211395.14</v>
      </c>
      <c r="F10" s="152"/>
      <c r="G10" s="122">
        <f t="shared" si="0"/>
        <v>312377.14</v>
      </c>
      <c r="H10" s="152"/>
      <c r="I10" s="152"/>
      <c r="J10" s="122"/>
      <c r="K10" s="154"/>
      <c r="L10" s="118"/>
      <c r="N10" s="80"/>
    </row>
    <row r="11" spans="1:16">
      <c r="A11" s="155" t="s">
        <v>97</v>
      </c>
      <c r="C11" s="156">
        <f>SUM(C7:C10)</f>
        <v>256724.185</v>
      </c>
      <c r="D11" s="152"/>
      <c r="E11" s="156">
        <f>SUM(E7:E10)</f>
        <v>211395.14</v>
      </c>
      <c r="F11" s="156">
        <f>SUM(F7:F9)</f>
        <v>0</v>
      </c>
      <c r="G11" s="156">
        <f>SUM(G7:G10)</f>
        <v>468119.32500000001</v>
      </c>
      <c r="H11" s="152"/>
      <c r="I11" s="156">
        <f>SUM(I7:I9)</f>
        <v>0</v>
      </c>
      <c r="J11" s="156">
        <f>SUM(J7:J9)</f>
        <v>0</v>
      </c>
      <c r="K11" s="154"/>
      <c r="L11" s="156">
        <f>SUM(L7:L9)</f>
        <v>155742.185</v>
      </c>
    </row>
    <row r="12" spans="1:16">
      <c r="C12" s="153">
        <v>0</v>
      </c>
      <c r="D12" s="152"/>
      <c r="E12" s="153"/>
      <c r="F12" s="152"/>
      <c r="G12" s="122"/>
      <c r="H12" s="152"/>
      <c r="I12" s="152"/>
      <c r="J12" s="122"/>
      <c r="K12" s="154"/>
      <c r="L12" s="118"/>
    </row>
    <row r="13" spans="1:16">
      <c r="A13" s="10" t="s">
        <v>104</v>
      </c>
      <c r="C13" s="153">
        <v>24000</v>
      </c>
      <c r="D13" s="152"/>
      <c r="E13" s="153">
        <v>0</v>
      </c>
      <c r="F13" s="152"/>
      <c r="G13" s="122">
        <f t="shared" ref="G13:G29" si="1">C13+E13</f>
        <v>24000</v>
      </c>
      <c r="H13" s="152"/>
      <c r="I13" s="80"/>
      <c r="J13" s="122">
        <v>0</v>
      </c>
      <c r="K13" s="154"/>
      <c r="L13" s="118">
        <f t="shared" ref="L13:L42" si="2">G13-I13-J13</f>
        <v>24000</v>
      </c>
      <c r="P13" s="80"/>
    </row>
    <row r="14" spans="1:16">
      <c r="A14" s="10" t="s">
        <v>105</v>
      </c>
      <c r="C14" s="153">
        <v>4800</v>
      </c>
      <c r="D14" s="152"/>
      <c r="E14" s="153">
        <v>0</v>
      </c>
      <c r="F14" s="152"/>
      <c r="G14" s="122">
        <f t="shared" si="1"/>
        <v>4800</v>
      </c>
      <c r="H14" s="152"/>
      <c r="I14" s="152"/>
      <c r="J14" s="122">
        <v>0</v>
      </c>
      <c r="K14" s="154"/>
      <c r="L14" s="118">
        <f t="shared" si="2"/>
        <v>4800</v>
      </c>
    </row>
    <row r="15" spans="1:16">
      <c r="A15" s="10" t="s">
        <v>106</v>
      </c>
      <c r="C15" s="153">
        <v>12000</v>
      </c>
      <c r="D15" s="152"/>
      <c r="E15" s="153">
        <v>0</v>
      </c>
      <c r="F15" s="152"/>
      <c r="G15" s="122">
        <f t="shared" si="1"/>
        <v>12000</v>
      </c>
      <c r="H15" s="152"/>
      <c r="I15" s="152"/>
      <c r="J15" s="122">
        <v>0</v>
      </c>
      <c r="K15" s="154"/>
      <c r="L15" s="118">
        <f t="shared" si="2"/>
        <v>12000</v>
      </c>
    </row>
    <row r="16" spans="1:16" ht="15" customHeight="1">
      <c r="A16" s="10" t="s">
        <v>107</v>
      </c>
      <c r="C16" s="153">
        <v>6000</v>
      </c>
      <c r="D16" s="152"/>
      <c r="E16" s="153">
        <v>0</v>
      </c>
      <c r="F16" s="152"/>
      <c r="G16" s="122">
        <f t="shared" si="1"/>
        <v>6000</v>
      </c>
      <c r="H16" s="152"/>
      <c r="I16" s="152"/>
      <c r="J16" s="122">
        <v>0</v>
      </c>
      <c r="K16" s="154"/>
      <c r="L16" s="118">
        <f t="shared" si="2"/>
        <v>6000</v>
      </c>
    </row>
    <row r="17" spans="1:14" ht="15" customHeight="1">
      <c r="A17" s="5" t="s">
        <v>108</v>
      </c>
      <c r="C17" s="153">
        <v>1500</v>
      </c>
      <c r="D17" s="152"/>
      <c r="E17" s="153">
        <v>0</v>
      </c>
      <c r="F17" s="152"/>
      <c r="G17" s="122">
        <f t="shared" si="1"/>
        <v>1500</v>
      </c>
      <c r="H17" s="152"/>
      <c r="I17" s="152"/>
      <c r="J17" s="122">
        <v>0</v>
      </c>
      <c r="K17" s="154"/>
      <c r="L17" s="118">
        <f t="shared" si="2"/>
        <v>1500</v>
      </c>
      <c r="N17" s="80"/>
    </row>
    <row r="18" spans="1:14" ht="15" customHeight="1">
      <c r="A18" s="5" t="s">
        <v>109</v>
      </c>
      <c r="C18" s="153">
        <v>2000</v>
      </c>
      <c r="D18" s="152"/>
      <c r="E18" s="153">
        <v>0</v>
      </c>
      <c r="F18" s="152"/>
      <c r="G18" s="122">
        <f t="shared" si="1"/>
        <v>2000</v>
      </c>
      <c r="H18" s="152"/>
      <c r="I18" s="152">
        <v>0</v>
      </c>
      <c r="J18" s="122">
        <v>0</v>
      </c>
      <c r="K18" s="154"/>
      <c r="L18" s="118">
        <f t="shared" si="2"/>
        <v>2000</v>
      </c>
    </row>
    <row r="19" spans="1:14" ht="15" hidden="1" customHeight="1">
      <c r="A19" s="5" t="s">
        <v>110</v>
      </c>
      <c r="C19" s="153">
        <v>0</v>
      </c>
      <c r="D19" s="152"/>
      <c r="E19" s="153">
        <v>0</v>
      </c>
      <c r="F19" s="152"/>
      <c r="G19" s="122">
        <f t="shared" si="1"/>
        <v>0</v>
      </c>
      <c r="H19" s="152"/>
      <c r="I19" s="152"/>
      <c r="J19" s="122">
        <v>0</v>
      </c>
      <c r="K19" s="154"/>
      <c r="L19" s="118">
        <f t="shared" si="2"/>
        <v>0</v>
      </c>
    </row>
    <row r="20" spans="1:14" ht="15" customHeight="1">
      <c r="A20" s="5" t="s">
        <v>111</v>
      </c>
      <c r="C20" s="153">
        <v>7000</v>
      </c>
      <c r="D20" s="152"/>
      <c r="E20" s="153">
        <v>0</v>
      </c>
      <c r="F20" s="152"/>
      <c r="G20" s="122">
        <f t="shared" si="1"/>
        <v>7000</v>
      </c>
      <c r="H20" s="152"/>
      <c r="I20" s="152"/>
      <c r="J20" s="122">
        <v>0</v>
      </c>
      <c r="K20" s="154"/>
      <c r="L20" s="118">
        <f t="shared" si="2"/>
        <v>7000</v>
      </c>
    </row>
    <row r="21" spans="1:14" ht="15" customHeight="1">
      <c r="A21" s="5" t="s">
        <v>112</v>
      </c>
      <c r="C21" s="153">
        <v>35000</v>
      </c>
      <c r="D21" s="154"/>
      <c r="E21" s="153">
        <v>0</v>
      </c>
      <c r="F21" s="154"/>
      <c r="G21" s="122">
        <f t="shared" si="1"/>
        <v>35000</v>
      </c>
      <c r="H21" s="154"/>
      <c r="I21" s="154">
        <v>0</v>
      </c>
      <c r="J21" s="122">
        <f>GETPIVOTDATA("Sum of Expenditures",PVT!$A$3,"Dept Descr","VP Finance and Administration","Program Descr","Leadership Conference")</f>
        <v>23180</v>
      </c>
      <c r="K21" s="154"/>
      <c r="L21" s="118">
        <f t="shared" si="2"/>
        <v>11820</v>
      </c>
    </row>
    <row r="22" spans="1:14" ht="15" hidden="1" customHeight="1">
      <c r="A22" s="5" t="s">
        <v>113</v>
      </c>
      <c r="C22" s="153">
        <v>0</v>
      </c>
      <c r="D22" s="152"/>
      <c r="E22" s="153">
        <v>0</v>
      </c>
      <c r="F22" s="152"/>
      <c r="G22" s="122">
        <f t="shared" si="1"/>
        <v>0</v>
      </c>
      <c r="H22" s="152"/>
      <c r="I22" s="154"/>
      <c r="J22" s="122">
        <v>0</v>
      </c>
      <c r="K22" s="154"/>
      <c r="L22" s="118">
        <f t="shared" si="2"/>
        <v>0</v>
      </c>
    </row>
    <row r="23" spans="1:14" ht="15" hidden="1" customHeight="1">
      <c r="A23" s="5" t="s">
        <v>114</v>
      </c>
      <c r="C23" s="153">
        <v>0</v>
      </c>
      <c r="D23" s="152"/>
      <c r="E23" s="153">
        <v>0</v>
      </c>
      <c r="F23" s="152"/>
      <c r="G23" s="122">
        <f t="shared" si="1"/>
        <v>0</v>
      </c>
      <c r="H23" s="152"/>
      <c r="I23" s="154"/>
      <c r="J23" s="122">
        <v>0</v>
      </c>
      <c r="K23" s="154"/>
      <c r="L23" s="118">
        <f t="shared" si="2"/>
        <v>0</v>
      </c>
    </row>
    <row r="24" spans="1:14" ht="15" hidden="1" customHeight="1">
      <c r="A24" s="5" t="s">
        <v>115</v>
      </c>
      <c r="C24" s="153">
        <v>0</v>
      </c>
      <c r="D24" s="152"/>
      <c r="E24" s="153">
        <v>0</v>
      </c>
      <c r="F24" s="152"/>
      <c r="G24" s="122">
        <f t="shared" si="1"/>
        <v>0</v>
      </c>
      <c r="H24" s="152"/>
      <c r="I24" s="154"/>
      <c r="J24" s="122">
        <v>0</v>
      </c>
      <c r="K24" s="154"/>
      <c r="L24" s="118">
        <f t="shared" si="2"/>
        <v>0</v>
      </c>
    </row>
    <row r="25" spans="1:14" ht="15" customHeight="1">
      <c r="A25" s="5" t="s">
        <v>116</v>
      </c>
      <c r="C25" s="153">
        <v>25000</v>
      </c>
      <c r="D25" s="152"/>
      <c r="E25" s="153"/>
      <c r="F25" s="152"/>
      <c r="G25" s="122">
        <f t="shared" si="1"/>
        <v>25000</v>
      </c>
      <c r="H25" s="152"/>
      <c r="I25" s="154">
        <f>GETPIVOTDATA("Sum of Encumbrances",PVT!$A$3,"Dept Descr","Student Affairs-Life/Devel","Program Descr","Career Services")</f>
        <v>588</v>
      </c>
      <c r="J25" s="122">
        <f>GETPIVOTDATA("Sum of Expenditures",PVT!$A$3,"Dept Descr","Student Affairs-Life/Devel","Program Descr","Career Services")</f>
        <v>6007.02</v>
      </c>
      <c r="K25" s="154"/>
      <c r="L25" s="118">
        <f t="shared" si="2"/>
        <v>18404.98</v>
      </c>
    </row>
    <row r="26" spans="1:14" ht="15" customHeight="1">
      <c r="A26" s="5" t="s">
        <v>117</v>
      </c>
      <c r="C26" s="153">
        <v>3150</v>
      </c>
      <c r="D26" s="152"/>
      <c r="E26" s="153"/>
      <c r="F26" s="152"/>
      <c r="G26" s="122">
        <f t="shared" si="1"/>
        <v>3150</v>
      </c>
      <c r="H26" s="152"/>
      <c r="I26" s="154">
        <f>GETPIVOTDATA("Sum of Expenditures",PVT!$A$3,"Dept Descr","Student Affairs-Life/Devel","Program Descr","Health Services")</f>
        <v>3150</v>
      </c>
      <c r="J26" s="122">
        <v>0</v>
      </c>
      <c r="K26" s="154"/>
      <c r="L26" s="118">
        <f t="shared" si="2"/>
        <v>0</v>
      </c>
    </row>
    <row r="27" spans="1:14" ht="15" customHeight="1">
      <c r="A27" s="5" t="s">
        <v>118</v>
      </c>
      <c r="C27" s="153">
        <v>161645.14000000001</v>
      </c>
      <c r="D27" s="152"/>
      <c r="E27" s="153"/>
      <c r="F27" s="152"/>
      <c r="G27" s="122">
        <f t="shared" si="1"/>
        <v>161645.14000000001</v>
      </c>
      <c r="H27" s="152"/>
      <c r="I27" s="154">
        <v>0</v>
      </c>
      <c r="J27" s="122">
        <f>GETPIVOTDATA("Sum of Expenditures",PVT!$A$3,"Dept Descr","Student Affairs-Life/Devel","Program Descr","Mental Health Initiative")</f>
        <v>103342.14</v>
      </c>
      <c r="K27" s="154"/>
      <c r="L27" s="118">
        <f t="shared" si="2"/>
        <v>58303.000000000015</v>
      </c>
    </row>
    <row r="28" spans="1:14" ht="15" customHeight="1">
      <c r="A28" s="5" t="s">
        <v>20</v>
      </c>
      <c r="C28" s="153">
        <v>375880.21</v>
      </c>
      <c r="D28" s="152"/>
      <c r="E28" s="153"/>
      <c r="F28" s="152"/>
      <c r="G28" s="122">
        <f t="shared" ref="G28" si="3">C28+E28</f>
        <v>375880.21</v>
      </c>
      <c r="H28" s="152"/>
      <c r="I28" s="154">
        <f>GETPIVOTDATA("Sum of Encumbrances",PVT!$A$3,"Dept Descr","Student Affairs Administration","Program Descr","PC not applicable")</f>
        <v>49803.62</v>
      </c>
      <c r="J28" s="122">
        <f>GETPIVOTDATA("Sum of Expenditures",PVT!$A$3,"Dept Descr","Student Affairs Administration","Program Descr","PC not applicable")</f>
        <v>111026.92</v>
      </c>
      <c r="K28" s="154"/>
      <c r="L28" s="118">
        <f t="shared" ref="L28" si="4">G28-I28-J28</f>
        <v>215049.67000000004</v>
      </c>
    </row>
    <row r="29" spans="1:14" ht="15" customHeight="1">
      <c r="A29" s="5" t="s">
        <v>119</v>
      </c>
      <c r="C29" s="153">
        <v>21600</v>
      </c>
      <c r="D29" s="152"/>
      <c r="E29" s="153"/>
      <c r="F29" s="152"/>
      <c r="G29" s="122">
        <f t="shared" si="1"/>
        <v>21600</v>
      </c>
      <c r="H29" s="152"/>
      <c r="I29" s="154">
        <v>0</v>
      </c>
      <c r="J29" s="122">
        <f>GETPIVOTDATA("Sum of Expenditures",PVT!$A$3,"Dept Descr","Student Development")</f>
        <v>46511</v>
      </c>
      <c r="K29" s="154"/>
      <c r="L29" s="118">
        <f t="shared" si="2"/>
        <v>-24911</v>
      </c>
    </row>
    <row r="30" spans="1:14" ht="15" customHeight="1">
      <c r="A30" s="5" t="s">
        <v>18</v>
      </c>
      <c r="C30" s="153">
        <v>15324</v>
      </c>
      <c r="D30" s="152"/>
      <c r="E30" s="153">
        <v>0</v>
      </c>
      <c r="F30" s="152"/>
      <c r="G30" s="122">
        <f t="shared" ref="G30" si="5">+C30+E30</f>
        <v>15324</v>
      </c>
      <c r="H30" s="152"/>
      <c r="I30" s="154">
        <f>GETPIVOTDATA("Sum of Encumbrances",PVT!$A$3,"Dept Descr","Creative/Performing Arts","Program Descr","PC not applicable")</f>
        <v>5000</v>
      </c>
      <c r="J30" s="122">
        <v>0</v>
      </c>
      <c r="K30" s="154"/>
      <c r="L30" s="118">
        <f t="shared" si="2"/>
        <v>10324</v>
      </c>
    </row>
    <row r="31" spans="1:14" ht="15" customHeight="1">
      <c r="A31" s="5" t="s">
        <v>14</v>
      </c>
      <c r="C31" s="153">
        <v>11493</v>
      </c>
      <c r="D31" s="152"/>
      <c r="E31" s="153">
        <v>0</v>
      </c>
      <c r="F31" s="152"/>
      <c r="G31" s="122">
        <f t="shared" ref="G31" si="6">+C31+E31</f>
        <v>11493</v>
      </c>
      <c r="H31" s="152"/>
      <c r="I31" s="154"/>
      <c r="J31" s="122">
        <v>0</v>
      </c>
      <c r="K31" s="154"/>
      <c r="L31" s="118">
        <f t="shared" ref="L31" si="7">G31-I31-J31</f>
        <v>11493</v>
      </c>
    </row>
    <row r="32" spans="1:14" ht="15" customHeight="1">
      <c r="A32" s="5" t="s">
        <v>16</v>
      </c>
      <c r="C32" s="153">
        <v>58304</v>
      </c>
      <c r="D32" s="152"/>
      <c r="E32" s="153">
        <v>0</v>
      </c>
      <c r="F32" s="152"/>
      <c r="G32" s="122">
        <f t="shared" ref="G32:G42" si="8">+C32+E32</f>
        <v>58304</v>
      </c>
      <c r="H32" s="152"/>
      <c r="I32" s="154"/>
      <c r="J32" s="122">
        <f>GETPIVOTDATA("Sum of Expenditures",PVT!$A$3,"Dept Descr","Counseling Center","Program Descr","PC not applicable")</f>
        <v>58303.08</v>
      </c>
      <c r="K32" s="154"/>
      <c r="L32" s="118">
        <f t="shared" si="2"/>
        <v>0.91999999999825377</v>
      </c>
    </row>
    <row r="33" spans="1:16" ht="15" customHeight="1">
      <c r="A33" s="5" t="s">
        <v>121</v>
      </c>
      <c r="C33" s="153">
        <v>35000</v>
      </c>
      <c r="D33" s="152"/>
      <c r="E33" s="153">
        <v>0</v>
      </c>
      <c r="F33" s="152"/>
      <c r="G33" s="122">
        <f t="shared" si="8"/>
        <v>35000</v>
      </c>
      <c r="H33" s="152"/>
      <c r="I33" s="154"/>
      <c r="J33" s="122">
        <f>GETPIVOTDATA("Sum of Expenditures",PVT!$A$3,"Dept Descr","Student Affairs-Life/Devel","Program Descr","Pandora's Box")</f>
        <v>1690</v>
      </c>
      <c r="K33" s="154"/>
      <c r="L33" s="118">
        <f t="shared" si="2"/>
        <v>33310</v>
      </c>
    </row>
    <row r="34" spans="1:16" ht="15" customHeight="1">
      <c r="A34" s="5" t="s">
        <v>124</v>
      </c>
      <c r="C34" s="153">
        <v>100982</v>
      </c>
      <c r="D34" s="152"/>
      <c r="E34" s="153">
        <v>0</v>
      </c>
      <c r="F34" s="152"/>
      <c r="G34" s="122">
        <f t="shared" si="8"/>
        <v>100982</v>
      </c>
      <c r="H34" s="152"/>
      <c r="I34" s="154">
        <f>GETPIVOTDATA("Sum of Encumbrances",PVT!$A$3,"Dept Descr","Student Affairs-Life/Devel","Program Descr","Student Orientaton")</f>
        <v>30703.11</v>
      </c>
      <c r="J34" s="122">
        <f>GETPIVOTDATA("Sum of Expenditures",PVT!$A$3,"Dept Descr","Student Affairs-Life/Devel","Program Descr","Student Orientaton")</f>
        <v>45740.66</v>
      </c>
      <c r="K34" s="154"/>
      <c r="L34" s="118">
        <f t="shared" si="2"/>
        <v>24538.229999999996</v>
      </c>
    </row>
    <row r="35" spans="1:16" ht="15" hidden="1" customHeight="1">
      <c r="A35" s="5" t="s">
        <v>126</v>
      </c>
      <c r="C35" s="153">
        <v>0</v>
      </c>
      <c r="D35" s="152"/>
      <c r="E35" s="153">
        <v>0</v>
      </c>
      <c r="F35" s="152"/>
      <c r="G35" s="122">
        <f>+C35+E35</f>
        <v>0</v>
      </c>
      <c r="H35" s="152"/>
      <c r="I35" s="154"/>
      <c r="J35" s="122">
        <v>0</v>
      </c>
      <c r="K35" s="154"/>
      <c r="L35" s="118">
        <f t="shared" si="2"/>
        <v>0</v>
      </c>
    </row>
    <row r="36" spans="1:16" ht="15" customHeight="1">
      <c r="A36" s="5" t="s">
        <v>127</v>
      </c>
      <c r="C36" s="153">
        <v>5000</v>
      </c>
      <c r="D36" s="152"/>
      <c r="E36" s="153">
        <v>0</v>
      </c>
      <c r="F36" s="152"/>
      <c r="G36" s="122">
        <f>+C36+E36</f>
        <v>5000</v>
      </c>
      <c r="H36" s="152"/>
      <c r="I36" s="154"/>
      <c r="J36" s="122">
        <v>0</v>
      </c>
      <c r="K36" s="154"/>
      <c r="L36" s="118">
        <f t="shared" si="2"/>
        <v>5000</v>
      </c>
    </row>
    <row r="37" spans="1:16" ht="15" hidden="1" customHeight="1">
      <c r="A37" s="5" t="s">
        <v>123</v>
      </c>
      <c r="C37" s="153">
        <v>0</v>
      </c>
      <c r="D37" s="152"/>
      <c r="E37" s="153">
        <v>0</v>
      </c>
      <c r="F37" s="152"/>
      <c r="G37" s="122">
        <f>+C37+E37</f>
        <v>0</v>
      </c>
      <c r="H37" s="152"/>
      <c r="I37" s="154"/>
      <c r="J37" s="122">
        <v>0</v>
      </c>
      <c r="K37" s="154"/>
      <c r="L37" s="118">
        <f t="shared" si="2"/>
        <v>0</v>
      </c>
    </row>
    <row r="38" spans="1:16" ht="15" hidden="1" customHeight="1">
      <c r="A38" s="10" t="s">
        <v>125</v>
      </c>
      <c r="C38" s="153">
        <v>0</v>
      </c>
      <c r="D38" s="152"/>
      <c r="E38" s="153">
        <v>0</v>
      </c>
      <c r="F38" s="152"/>
      <c r="G38" s="122">
        <f t="shared" ref="G38:G39" si="9">+C38+E38</f>
        <v>0</v>
      </c>
      <c r="H38" s="152"/>
      <c r="I38" s="154"/>
      <c r="J38" s="122">
        <v>0</v>
      </c>
      <c r="K38" s="154"/>
      <c r="L38" s="118">
        <f t="shared" si="2"/>
        <v>0</v>
      </c>
    </row>
    <row r="39" spans="1:16" ht="15" hidden="1" customHeight="1">
      <c r="A39" s="10" t="s">
        <v>130</v>
      </c>
      <c r="C39" s="153">
        <v>0</v>
      </c>
      <c r="D39" s="152"/>
      <c r="E39" s="153">
        <v>0</v>
      </c>
      <c r="F39" s="152"/>
      <c r="G39" s="122">
        <f t="shared" si="9"/>
        <v>0</v>
      </c>
      <c r="H39" s="152"/>
      <c r="I39" s="154"/>
      <c r="J39" s="122">
        <v>0</v>
      </c>
      <c r="K39" s="154"/>
      <c r="L39" s="118">
        <f t="shared" si="2"/>
        <v>0</v>
      </c>
    </row>
    <row r="40" spans="1:16" ht="15" hidden="1" customHeight="1">
      <c r="A40" s="10" t="s">
        <v>132</v>
      </c>
      <c r="C40" s="153">
        <v>0</v>
      </c>
      <c r="D40" s="152"/>
      <c r="E40" s="153">
        <v>0</v>
      </c>
      <c r="F40" s="152"/>
      <c r="G40" s="122">
        <f t="shared" si="8"/>
        <v>0</v>
      </c>
      <c r="H40" s="152"/>
      <c r="I40" s="154"/>
      <c r="J40" s="122">
        <v>0</v>
      </c>
      <c r="K40" s="154"/>
      <c r="L40" s="118">
        <f t="shared" si="2"/>
        <v>0</v>
      </c>
    </row>
    <row r="41" spans="1:16" ht="15" hidden="1" customHeight="1">
      <c r="A41" s="10" t="s">
        <v>134</v>
      </c>
      <c r="C41" s="153">
        <v>0</v>
      </c>
      <c r="D41" s="152"/>
      <c r="E41" s="153">
        <v>0</v>
      </c>
      <c r="F41" s="152"/>
      <c r="G41" s="122">
        <f t="shared" si="8"/>
        <v>0</v>
      </c>
      <c r="H41" s="152"/>
      <c r="I41" s="154"/>
      <c r="J41" s="122">
        <v>0</v>
      </c>
      <c r="K41" s="154"/>
      <c r="L41" s="118">
        <f t="shared" si="2"/>
        <v>0</v>
      </c>
    </row>
    <row r="42" spans="1:16" ht="15" customHeight="1">
      <c r="A42" s="10" t="s">
        <v>27</v>
      </c>
      <c r="C42" s="153">
        <v>20000</v>
      </c>
      <c r="D42" s="152"/>
      <c r="E42" s="61">
        <v>0</v>
      </c>
      <c r="F42" s="152"/>
      <c r="G42" s="122">
        <f t="shared" si="8"/>
        <v>20000</v>
      </c>
      <c r="H42" s="152"/>
      <c r="I42" s="152">
        <f>GETPIVOTDATA("Sum of Expenditures",PVT!$A$3,"Dept Descr","Student Affairs-Life/Devel","Program Descr","Commencement")</f>
        <v>1155</v>
      </c>
      <c r="J42" s="122">
        <v>0</v>
      </c>
      <c r="K42" s="154"/>
      <c r="L42" s="118">
        <f t="shared" si="2"/>
        <v>18845</v>
      </c>
    </row>
    <row r="43" spans="1:16" ht="15" customHeight="1">
      <c r="A43" s="36" t="s">
        <v>153</v>
      </c>
      <c r="C43" s="157">
        <f>SUM(C13:C42)</f>
        <v>925678.35000000009</v>
      </c>
      <c r="D43" s="152"/>
      <c r="E43" s="157">
        <f>SUM(E13:E42)</f>
        <v>0</v>
      </c>
      <c r="F43" s="152"/>
      <c r="G43" s="157">
        <f>SUM(G13:G42)</f>
        <v>925678.35000000009</v>
      </c>
      <c r="H43" s="152"/>
      <c r="I43" s="157">
        <f>SUM(I13:I42)</f>
        <v>90399.73000000001</v>
      </c>
      <c r="J43" s="157">
        <f>SUM(J13:J42)</f>
        <v>395800.82000000007</v>
      </c>
      <c r="K43" s="152"/>
      <c r="L43" s="157">
        <f>SUM(L13:L42)</f>
        <v>439477.8</v>
      </c>
      <c r="M43" s="80"/>
      <c r="P43" s="94"/>
    </row>
    <row r="44" spans="1:16">
      <c r="A44" s="36" t="s">
        <v>154</v>
      </c>
      <c r="C44" s="157">
        <f>C11-C43</f>
        <v>-668954.16500000004</v>
      </c>
      <c r="D44" s="152"/>
      <c r="E44" s="152"/>
      <c r="F44" s="152"/>
      <c r="G44" s="157">
        <f>G11-G43</f>
        <v>-457559.02500000008</v>
      </c>
      <c r="H44" s="152"/>
      <c r="I44" s="152"/>
      <c r="J44" s="154"/>
      <c r="K44" s="152"/>
      <c r="L44" s="158"/>
      <c r="M44" s="80"/>
    </row>
    <row r="45" spans="1:16" ht="15" customHeight="1">
      <c r="J45" s="80"/>
    </row>
    <row r="46" spans="1:16" ht="15" customHeight="1">
      <c r="J46" s="80"/>
    </row>
    <row r="47" spans="1:16" ht="15" customHeight="1">
      <c r="J47" s="80"/>
    </row>
    <row r="48" spans="1:16" ht="15" customHeight="1"/>
    <row r="49" spans="12:12" ht="15" customHeight="1"/>
    <row r="50" spans="12:12" ht="15" hidden="1" customHeight="1"/>
    <row r="51" spans="12:12" ht="15" hidden="1" customHeight="1"/>
    <row r="52" spans="12:12" ht="15" hidden="1" customHeight="1"/>
    <row r="53" spans="12:12" ht="15" hidden="1" customHeight="1"/>
    <row r="54" spans="12:12">
      <c r="L54" s="63"/>
    </row>
    <row r="55" spans="12:12">
      <c r="L55" s="63"/>
    </row>
    <row r="56" spans="12:12">
      <c r="L56" s="63"/>
    </row>
    <row r="57" spans="12:12">
      <c r="L57" s="63"/>
    </row>
    <row r="58" spans="12:12">
      <c r="L58" s="63"/>
    </row>
    <row r="59" spans="12:12">
      <c r="L59" s="63"/>
    </row>
    <row r="60" spans="12:12">
      <c r="L60" s="63"/>
    </row>
    <row r="61" spans="12:12">
      <c r="L61" s="63"/>
    </row>
    <row r="62" spans="12:12">
      <c r="L62" s="63"/>
    </row>
    <row r="63" spans="12:12">
      <c r="L63" s="63"/>
    </row>
    <row r="64" spans="12:12">
      <c r="L64" s="63"/>
    </row>
    <row r="65" spans="12:12">
      <c r="L65" s="63"/>
    </row>
    <row r="66" spans="12:12">
      <c r="L66" s="63"/>
    </row>
    <row r="67" spans="12:12">
      <c r="L67" s="63"/>
    </row>
    <row r="68" spans="12:12">
      <c r="L68" s="63"/>
    </row>
    <row r="69" spans="12:12">
      <c r="L69" s="63"/>
    </row>
    <row r="70" spans="12:12">
      <c r="L70" s="63"/>
    </row>
    <row r="71" spans="12:12">
      <c r="L71" s="63"/>
    </row>
    <row r="72" spans="12:12">
      <c r="L72" s="63"/>
    </row>
    <row r="73" spans="12:12">
      <c r="L73" s="63"/>
    </row>
    <row r="74" spans="12:12">
      <c r="L74" s="63"/>
    </row>
    <row r="75" spans="12:12">
      <c r="L75" s="63"/>
    </row>
  </sheetData>
  <mergeCells count="4">
    <mergeCell ref="A1:L1"/>
    <mergeCell ref="A2:L2"/>
    <mergeCell ref="A3:L3"/>
    <mergeCell ref="A4:L4"/>
  </mergeCells>
  <pageMargins left="0.7" right="0.7" top="0.75" bottom="0.75" header="0.3" footer="0.3"/>
  <pageSetup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00C76-5CB7-4AE3-B79A-987D0AA3D3E6}">
  <sheetPr>
    <tabColor theme="1" tint="0.499984740745262"/>
  </sheetPr>
  <dimension ref="A1:X57"/>
  <sheetViews>
    <sheetView zoomScaleNormal="100" workbookViewId="0">
      <pane xSplit="9" ySplit="6" topLeftCell="J23" activePane="bottomRight" state="frozen"/>
      <selection pane="bottomRight" activeCell="H33" sqref="H33"/>
      <selection pane="bottomLeft" activeCell="A7" sqref="A7"/>
      <selection pane="topRight" activeCell="J1" sqref="J1"/>
    </sheetView>
  </sheetViews>
  <sheetFormatPr defaultColWidth="9.140625" defaultRowHeight="15"/>
  <cols>
    <col min="1" max="1" width="32.5703125" style="62" bestFit="1" customWidth="1"/>
    <col min="2" max="2" width="1.7109375" style="62" customWidth="1"/>
    <col min="3" max="3" width="10.5703125" style="62" bestFit="1" customWidth="1"/>
    <col min="4" max="4" width="1.7109375" style="62" customWidth="1"/>
    <col min="5" max="5" width="11.5703125" style="62" customWidth="1"/>
    <col min="6" max="6" width="12.42578125" style="62" hidden="1" customWidth="1"/>
    <col min="7" max="7" width="1.7109375" style="62" customWidth="1"/>
    <col min="8" max="8" width="11.7109375" style="62" bestFit="1" customWidth="1"/>
    <col min="9" max="9" width="1.7109375" style="62" customWidth="1"/>
    <col min="10" max="11" width="14" style="62" customWidth="1"/>
    <col min="12" max="12" width="1.7109375" style="62" customWidth="1"/>
    <col min="13" max="13" width="10.140625" style="62" customWidth="1"/>
    <col min="14" max="14" width="12.7109375" style="62" customWidth="1"/>
    <col min="15" max="15" width="12" style="62" customWidth="1"/>
    <col min="16" max="16384" width="9.140625" style="62"/>
  </cols>
  <sheetData>
    <row r="1" spans="1:15" ht="14.45" customHeight="1">
      <c r="A1" s="258" t="s">
        <v>65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</row>
    <row r="2" spans="1:15" ht="14.45" customHeight="1">
      <c r="A2" s="258" t="s">
        <v>155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5" ht="14.45" customHeight="1">
      <c r="A3" s="258" t="s">
        <v>147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15" ht="15" customHeight="1">
      <c r="A4" s="258" t="str">
        <f>'Allocation '!A3:U3</f>
        <v>As of March 31, 2025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5" ht="14.45" customHeight="1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5" ht="67.150000000000006" customHeight="1" thickBot="1">
      <c r="A6" s="159" t="s">
        <v>68</v>
      </c>
      <c r="B6" s="160"/>
      <c r="C6" s="161" t="s">
        <v>72</v>
      </c>
      <c r="D6" s="162"/>
      <c r="E6" s="161" t="s">
        <v>73</v>
      </c>
      <c r="F6" s="161" t="s">
        <v>156</v>
      </c>
      <c r="G6" s="162"/>
      <c r="H6" s="161" t="s">
        <v>74</v>
      </c>
      <c r="I6" s="162"/>
      <c r="J6" s="37" t="s">
        <v>148</v>
      </c>
      <c r="K6" s="37" t="s">
        <v>149</v>
      </c>
      <c r="L6" s="38"/>
      <c r="M6" s="161" t="s">
        <v>150</v>
      </c>
      <c r="N6" s="5"/>
    </row>
    <row r="7" spans="1:15" ht="12" customHeight="1">
      <c r="A7" s="5" t="s">
        <v>90</v>
      </c>
      <c r="B7" s="5"/>
      <c r="C7" s="163">
        <f>'Allocation '!M12</f>
        <v>82743.25</v>
      </c>
      <c r="D7" s="164"/>
      <c r="E7" s="163">
        <v>42293</v>
      </c>
      <c r="F7" s="163"/>
      <c r="G7" s="164"/>
      <c r="H7" s="165">
        <f>C7+E7</f>
        <v>125036.25</v>
      </c>
      <c r="I7" s="164"/>
      <c r="J7" s="164">
        <v>0</v>
      </c>
      <c r="K7" s="165">
        <v>0</v>
      </c>
      <c r="L7" s="166"/>
      <c r="M7" s="165">
        <f>H7-K7</f>
        <v>125036.25</v>
      </c>
      <c r="N7" s="5"/>
    </row>
    <row r="8" spans="1:15" ht="12" customHeight="1">
      <c r="A8" s="5" t="s">
        <v>157</v>
      </c>
      <c r="B8" s="5"/>
      <c r="C8" s="163"/>
      <c r="D8" s="164"/>
      <c r="E8" s="163">
        <v>0</v>
      </c>
      <c r="F8" s="163"/>
      <c r="G8" s="164"/>
      <c r="H8" s="165">
        <f>+C8+E8</f>
        <v>0</v>
      </c>
      <c r="I8" s="164"/>
      <c r="J8" s="164"/>
      <c r="K8" s="165">
        <v>0</v>
      </c>
      <c r="L8" s="166"/>
      <c r="M8" s="165">
        <f>H8-K8</f>
        <v>0</v>
      </c>
      <c r="N8" s="5"/>
    </row>
    <row r="9" spans="1:15" ht="12" customHeight="1">
      <c r="A9" s="5" t="s">
        <v>93</v>
      </c>
      <c r="B9" s="5"/>
      <c r="C9" s="61">
        <f>'Allocation '!M16</f>
        <v>74964.05</v>
      </c>
      <c r="D9" s="164"/>
      <c r="E9" s="163">
        <v>0</v>
      </c>
      <c r="F9" s="163"/>
      <c r="G9" s="164"/>
      <c r="H9" s="165">
        <f>C9+E9</f>
        <v>74964.05</v>
      </c>
      <c r="I9" s="164"/>
      <c r="J9" s="164">
        <v>0</v>
      </c>
      <c r="K9" s="165">
        <v>0</v>
      </c>
      <c r="L9" s="166"/>
      <c r="M9" s="165">
        <f>H9-K9</f>
        <v>74964.05</v>
      </c>
      <c r="N9" s="5"/>
    </row>
    <row r="10" spans="1:15" ht="12" customHeight="1">
      <c r="A10" s="5" t="s">
        <v>158</v>
      </c>
      <c r="B10" s="5"/>
      <c r="C10" s="163">
        <v>0</v>
      </c>
      <c r="D10" s="164"/>
      <c r="E10" s="163">
        <v>0</v>
      </c>
      <c r="F10" s="163"/>
      <c r="G10" s="164"/>
      <c r="H10" s="165">
        <f>+C10+E10</f>
        <v>0</v>
      </c>
      <c r="I10" s="164"/>
      <c r="J10" s="164"/>
      <c r="K10" s="165">
        <v>0</v>
      </c>
      <c r="L10" s="166"/>
      <c r="M10" s="165">
        <f>H10-K10</f>
        <v>0</v>
      </c>
      <c r="N10" s="5"/>
    </row>
    <row r="11" spans="1:15" ht="12" customHeight="1">
      <c r="A11" s="36" t="s">
        <v>97</v>
      </c>
      <c r="B11" s="5"/>
      <c r="C11" s="167">
        <f>SUM(C7:C9)</f>
        <v>157707.29999999999</v>
      </c>
      <c r="D11" s="164"/>
      <c r="E11" s="167">
        <f>SUM(E7:E10)</f>
        <v>42293</v>
      </c>
      <c r="F11" s="167">
        <f>SUM(F7:F10)</f>
        <v>0</v>
      </c>
      <c r="G11" s="164"/>
      <c r="H11" s="168">
        <f>SUM(H7:H10)</f>
        <v>200000.3</v>
      </c>
      <c r="I11" s="164"/>
      <c r="J11" s="168">
        <f>SUM(J7:J9)</f>
        <v>0</v>
      </c>
      <c r="K11" s="168">
        <f>SUM(K7:K9)</f>
        <v>0</v>
      </c>
      <c r="L11" s="166"/>
      <c r="M11" s="168">
        <f>SUM(M7:M10)</f>
        <v>200000.3</v>
      </c>
      <c r="N11" s="5"/>
      <c r="O11" s="80"/>
    </row>
    <row r="12" spans="1:15" ht="12" customHeight="1">
      <c r="A12" s="10" t="s">
        <v>158</v>
      </c>
      <c r="B12" s="5"/>
      <c r="C12" s="164">
        <v>0</v>
      </c>
      <c r="D12" s="164"/>
      <c r="E12" s="164">
        <v>0</v>
      </c>
      <c r="F12" s="164"/>
      <c r="G12" s="164"/>
      <c r="H12" s="166">
        <f>+C12+E12</f>
        <v>0</v>
      </c>
      <c r="I12" s="164"/>
      <c r="J12" s="164"/>
      <c r="K12" s="166">
        <v>0</v>
      </c>
      <c r="L12" s="166"/>
      <c r="M12" s="165">
        <f>H12-K12</f>
        <v>0</v>
      </c>
      <c r="N12" s="5"/>
    </row>
    <row r="13" spans="1:15" ht="12" customHeight="1">
      <c r="A13" s="36" t="s">
        <v>159</v>
      </c>
      <c r="B13" s="5"/>
      <c r="C13" s="167">
        <f>+C12+C11</f>
        <v>157707.29999999999</v>
      </c>
      <c r="D13" s="164"/>
      <c r="E13" s="167">
        <f>+E12+E11</f>
        <v>42293</v>
      </c>
      <c r="F13" s="164"/>
      <c r="G13" s="164"/>
      <c r="H13" s="167">
        <f>+H12+H11</f>
        <v>200000.3</v>
      </c>
      <c r="I13" s="164"/>
      <c r="J13" s="167"/>
      <c r="K13" s="167">
        <f>+K12+K11</f>
        <v>0</v>
      </c>
      <c r="L13" s="166"/>
      <c r="M13" s="167">
        <f>+M12+M11</f>
        <v>200000.3</v>
      </c>
      <c r="N13" s="5"/>
    </row>
    <row r="14" spans="1:15" ht="12" customHeight="1">
      <c r="A14" s="5"/>
      <c r="B14" s="5"/>
      <c r="C14" s="163"/>
      <c r="D14" s="164"/>
      <c r="E14" s="163"/>
      <c r="F14" s="163"/>
      <c r="G14" s="164"/>
      <c r="H14" s="165"/>
      <c r="I14" s="164"/>
      <c r="J14" s="164"/>
      <c r="K14" s="165"/>
      <c r="L14" s="166"/>
      <c r="M14" s="165"/>
      <c r="N14" s="5"/>
    </row>
    <row r="15" spans="1:15" ht="15" customHeight="1">
      <c r="A15" s="5" t="s">
        <v>104</v>
      </c>
      <c r="B15" s="5"/>
      <c r="C15" s="163">
        <f>'Allocation '!M31</f>
        <v>24300</v>
      </c>
      <c r="D15" s="164"/>
      <c r="E15" s="165">
        <v>0</v>
      </c>
      <c r="F15" s="165"/>
      <c r="G15" s="164"/>
      <c r="H15" s="165">
        <f t="shared" ref="H15:H23" si="0">C15+E15</f>
        <v>24300</v>
      </c>
      <c r="I15" s="164"/>
      <c r="J15" s="164">
        <v>0</v>
      </c>
      <c r="K15" s="165">
        <v>0</v>
      </c>
      <c r="L15" s="166"/>
      <c r="M15" s="165">
        <f>H15-J15-K15</f>
        <v>24300</v>
      </c>
      <c r="N15" s="5"/>
      <c r="O15" s="169"/>
    </row>
    <row r="16" spans="1:15" ht="15" customHeight="1">
      <c r="A16" s="5" t="s">
        <v>160</v>
      </c>
      <c r="B16" s="5"/>
      <c r="C16" s="163">
        <v>0</v>
      </c>
      <c r="D16" s="164"/>
      <c r="E16" s="165">
        <v>0</v>
      </c>
      <c r="F16" s="170">
        <v>0</v>
      </c>
      <c r="G16" s="164"/>
      <c r="H16" s="165">
        <f t="shared" si="0"/>
        <v>0</v>
      </c>
      <c r="I16" s="164"/>
      <c r="J16" s="164">
        <v>0</v>
      </c>
      <c r="K16" s="165">
        <v>0</v>
      </c>
      <c r="L16" s="166"/>
      <c r="M16" s="165">
        <f t="shared" ref="M16:M35" si="1">H16-J16-K16</f>
        <v>0</v>
      </c>
      <c r="N16" s="5"/>
      <c r="O16" s="171"/>
    </row>
    <row r="17" spans="1:24" ht="15" customHeight="1">
      <c r="A17" s="5" t="s">
        <v>161</v>
      </c>
      <c r="B17" s="5"/>
      <c r="C17" s="163">
        <v>0</v>
      </c>
      <c r="D17" s="164"/>
      <c r="E17" s="165">
        <v>0</v>
      </c>
      <c r="F17" s="170">
        <v>0</v>
      </c>
      <c r="G17" s="164"/>
      <c r="H17" s="165">
        <f t="shared" si="0"/>
        <v>0</v>
      </c>
      <c r="I17" s="164"/>
      <c r="J17" s="164">
        <v>0</v>
      </c>
      <c r="K17" s="165">
        <v>0</v>
      </c>
      <c r="L17" s="166"/>
      <c r="M17" s="165">
        <f t="shared" si="1"/>
        <v>0</v>
      </c>
      <c r="N17" s="5"/>
      <c r="O17" s="171"/>
    </row>
    <row r="18" spans="1:24" ht="15" customHeight="1">
      <c r="A18" s="5" t="s">
        <v>160</v>
      </c>
      <c r="B18" s="5"/>
      <c r="C18" s="163">
        <v>0</v>
      </c>
      <c r="D18" s="164"/>
      <c r="E18" s="165">
        <v>0</v>
      </c>
      <c r="F18" s="170">
        <v>0</v>
      </c>
      <c r="G18" s="164"/>
      <c r="H18" s="165">
        <f t="shared" si="0"/>
        <v>0</v>
      </c>
      <c r="I18" s="164"/>
      <c r="J18" s="164">
        <v>0</v>
      </c>
      <c r="K18" s="165">
        <v>0</v>
      </c>
      <c r="L18" s="166"/>
      <c r="M18" s="165">
        <f t="shared" si="1"/>
        <v>0</v>
      </c>
      <c r="N18" s="5"/>
      <c r="O18" s="171"/>
    </row>
    <row r="19" spans="1:24" ht="15" customHeight="1">
      <c r="A19" s="5" t="s">
        <v>161</v>
      </c>
      <c r="B19" s="5"/>
      <c r="C19" s="163">
        <v>0</v>
      </c>
      <c r="D19" s="164"/>
      <c r="E19" s="165">
        <v>0</v>
      </c>
      <c r="F19" s="170">
        <v>0</v>
      </c>
      <c r="G19" s="164"/>
      <c r="H19" s="165">
        <f t="shared" si="0"/>
        <v>0</v>
      </c>
      <c r="I19" s="164"/>
      <c r="J19" s="164">
        <v>0</v>
      </c>
      <c r="K19" s="165">
        <v>0</v>
      </c>
      <c r="L19" s="166"/>
      <c r="M19" s="165">
        <f t="shared" si="1"/>
        <v>0</v>
      </c>
      <c r="N19" s="5"/>
      <c r="O19" s="171"/>
    </row>
    <row r="20" spans="1:24" ht="15" customHeight="1">
      <c r="A20" s="5" t="s">
        <v>162</v>
      </c>
      <c r="B20" s="5"/>
      <c r="C20" s="163">
        <v>0</v>
      </c>
      <c r="D20" s="164"/>
      <c r="E20" s="165">
        <v>0</v>
      </c>
      <c r="F20" s="170">
        <v>0</v>
      </c>
      <c r="G20" s="164"/>
      <c r="H20" s="165">
        <f t="shared" si="0"/>
        <v>0</v>
      </c>
      <c r="I20" s="164"/>
      <c r="J20" s="164">
        <v>0</v>
      </c>
      <c r="K20" s="165">
        <v>0</v>
      </c>
      <c r="L20" s="166"/>
      <c r="M20" s="165">
        <f t="shared" si="1"/>
        <v>0</v>
      </c>
      <c r="N20" s="5"/>
      <c r="O20" s="172"/>
    </row>
    <row r="21" spans="1:24" ht="15" customHeight="1">
      <c r="A21" s="5" t="s">
        <v>163</v>
      </c>
      <c r="B21" s="5"/>
      <c r="C21" s="163">
        <v>0</v>
      </c>
      <c r="D21" s="164"/>
      <c r="E21" s="165">
        <v>0</v>
      </c>
      <c r="F21" s="170">
        <v>0</v>
      </c>
      <c r="G21" s="164"/>
      <c r="H21" s="165">
        <f t="shared" si="0"/>
        <v>0</v>
      </c>
      <c r="I21" s="164"/>
      <c r="J21" s="164">
        <v>0</v>
      </c>
      <c r="K21" s="165">
        <v>0</v>
      </c>
      <c r="L21" s="166"/>
      <c r="M21" s="165">
        <f t="shared" si="1"/>
        <v>0</v>
      </c>
      <c r="N21" s="5"/>
      <c r="O21" s="172"/>
    </row>
    <row r="22" spans="1:24" ht="15" customHeight="1">
      <c r="A22" s="5" t="s">
        <v>164</v>
      </c>
      <c r="B22" s="5"/>
      <c r="C22" s="163">
        <v>0</v>
      </c>
      <c r="D22" s="164"/>
      <c r="E22" s="165">
        <v>0</v>
      </c>
      <c r="F22" s="170"/>
      <c r="G22" s="164"/>
      <c r="H22" s="165">
        <f t="shared" si="0"/>
        <v>0</v>
      </c>
      <c r="I22" s="164"/>
      <c r="J22" s="164">
        <v>0</v>
      </c>
      <c r="K22" s="165">
        <v>0</v>
      </c>
      <c r="L22" s="166"/>
      <c r="M22" s="165">
        <f t="shared" si="1"/>
        <v>0</v>
      </c>
      <c r="N22" s="5"/>
      <c r="O22" s="171"/>
    </row>
    <row r="23" spans="1:24" ht="15" customHeight="1">
      <c r="A23" s="5" t="s">
        <v>165</v>
      </c>
      <c r="B23" s="5"/>
      <c r="C23" s="163">
        <v>0</v>
      </c>
      <c r="D23" s="164"/>
      <c r="E23" s="165">
        <v>0</v>
      </c>
      <c r="F23" s="173">
        <v>0</v>
      </c>
      <c r="G23" s="164"/>
      <c r="H23" s="165">
        <f t="shared" si="0"/>
        <v>0</v>
      </c>
      <c r="I23" s="164"/>
      <c r="J23" s="164">
        <v>0</v>
      </c>
      <c r="K23" s="165">
        <v>0</v>
      </c>
      <c r="L23" s="166"/>
      <c r="M23" s="165">
        <f t="shared" si="1"/>
        <v>0</v>
      </c>
      <c r="N23" s="5"/>
      <c r="O23" s="171"/>
    </row>
    <row r="24" spans="1:24" ht="15" customHeight="1">
      <c r="A24" s="5" t="s">
        <v>166</v>
      </c>
      <c r="B24" s="5"/>
      <c r="C24" s="163">
        <v>0</v>
      </c>
      <c r="D24" s="164"/>
      <c r="E24" s="165">
        <v>0</v>
      </c>
      <c r="F24" s="173">
        <v>0</v>
      </c>
      <c r="G24" s="164"/>
      <c r="H24" s="165">
        <f>C24+E24</f>
        <v>0</v>
      </c>
      <c r="I24" s="164"/>
      <c r="J24" s="164">
        <v>0</v>
      </c>
      <c r="K24" s="165">
        <v>0</v>
      </c>
      <c r="L24" s="166"/>
      <c r="M24" s="165">
        <f t="shared" si="1"/>
        <v>0</v>
      </c>
      <c r="N24" s="5"/>
      <c r="O24" s="174"/>
      <c r="X24" s="165"/>
    </row>
    <row r="25" spans="1:24" ht="15" customHeight="1">
      <c r="A25" s="5" t="s">
        <v>167</v>
      </c>
      <c r="B25" s="5"/>
      <c r="C25" s="165">
        <v>0</v>
      </c>
      <c r="D25" s="166"/>
      <c r="E25" s="165">
        <v>0</v>
      </c>
      <c r="F25" s="165">
        <v>0</v>
      </c>
      <c r="G25" s="164"/>
      <c r="H25" s="165">
        <f t="shared" ref="H25:H38" si="2">C25+E25</f>
        <v>0</v>
      </c>
      <c r="I25" s="164"/>
      <c r="J25" s="164">
        <v>0</v>
      </c>
      <c r="K25" s="165">
        <v>0</v>
      </c>
      <c r="L25" s="166"/>
      <c r="M25" s="165">
        <f t="shared" si="1"/>
        <v>0</v>
      </c>
      <c r="N25" s="5"/>
      <c r="O25" s="174"/>
      <c r="U25" s="62" t="s">
        <v>168</v>
      </c>
    </row>
    <row r="26" spans="1:24" ht="15" customHeight="1">
      <c r="A26" s="5" t="s">
        <v>169</v>
      </c>
      <c r="B26" s="5"/>
      <c r="C26" s="163">
        <v>0</v>
      </c>
      <c r="D26" s="164"/>
      <c r="E26" s="165">
        <v>0</v>
      </c>
      <c r="F26" s="173">
        <v>0</v>
      </c>
      <c r="G26" s="164"/>
      <c r="H26" s="165">
        <f t="shared" si="2"/>
        <v>0</v>
      </c>
      <c r="I26" s="164"/>
      <c r="J26" s="164">
        <v>0</v>
      </c>
      <c r="K26" s="165">
        <v>0</v>
      </c>
      <c r="L26" s="166"/>
      <c r="M26" s="165">
        <f t="shared" si="1"/>
        <v>0</v>
      </c>
      <c r="N26" s="5"/>
      <c r="O26" s="169"/>
      <c r="Q26" s="169"/>
    </row>
    <row r="27" spans="1:24" ht="15" customHeight="1">
      <c r="A27" s="5" t="s">
        <v>170</v>
      </c>
      <c r="B27" s="5"/>
      <c r="C27" s="163">
        <v>0</v>
      </c>
      <c r="D27" s="164"/>
      <c r="E27" s="165">
        <v>0</v>
      </c>
      <c r="F27" s="173">
        <v>0</v>
      </c>
      <c r="G27" s="164"/>
      <c r="H27" s="165">
        <f t="shared" si="2"/>
        <v>0</v>
      </c>
      <c r="I27" s="164"/>
      <c r="J27" s="164">
        <v>0</v>
      </c>
      <c r="K27" s="165">
        <v>0</v>
      </c>
      <c r="L27" s="166"/>
      <c r="M27" s="165">
        <f t="shared" si="1"/>
        <v>0</v>
      </c>
      <c r="N27" s="5"/>
      <c r="O27" s="169"/>
    </row>
    <row r="28" spans="1:24" ht="15" customHeight="1">
      <c r="A28" s="5" t="s">
        <v>171</v>
      </c>
      <c r="B28" s="5"/>
      <c r="C28" s="163">
        <v>0</v>
      </c>
      <c r="D28" s="164"/>
      <c r="E28" s="165">
        <v>0</v>
      </c>
      <c r="F28" s="173">
        <v>0</v>
      </c>
      <c r="G28" s="164"/>
      <c r="H28" s="165">
        <f t="shared" si="2"/>
        <v>0</v>
      </c>
      <c r="I28" s="164"/>
      <c r="J28" s="164">
        <v>0</v>
      </c>
      <c r="K28" s="165">
        <v>0</v>
      </c>
      <c r="L28" s="166"/>
      <c r="M28" s="165">
        <f t="shared" si="1"/>
        <v>0</v>
      </c>
      <c r="N28" s="5"/>
      <c r="O28" s="169"/>
    </row>
    <row r="29" spans="1:24" ht="15" customHeight="1">
      <c r="A29" s="5" t="s">
        <v>172</v>
      </c>
      <c r="B29" s="5"/>
      <c r="C29" s="163">
        <v>0</v>
      </c>
      <c r="D29" s="164"/>
      <c r="E29" s="165">
        <v>0</v>
      </c>
      <c r="F29" s="173">
        <v>0</v>
      </c>
      <c r="G29" s="164"/>
      <c r="H29" s="165">
        <f t="shared" si="2"/>
        <v>0</v>
      </c>
      <c r="I29" s="164"/>
      <c r="J29" s="164">
        <v>0</v>
      </c>
      <c r="K29" s="165">
        <v>0</v>
      </c>
      <c r="L29" s="166"/>
      <c r="M29" s="165">
        <f t="shared" si="1"/>
        <v>0</v>
      </c>
      <c r="N29" s="5"/>
      <c r="O29" s="169"/>
    </row>
    <row r="30" spans="1:24" ht="15" customHeight="1">
      <c r="A30" s="5" t="s">
        <v>173</v>
      </c>
      <c r="B30" s="5"/>
      <c r="C30" s="163">
        <v>0</v>
      </c>
      <c r="D30" s="164"/>
      <c r="E30" s="165">
        <v>0</v>
      </c>
      <c r="F30" s="173">
        <v>0</v>
      </c>
      <c r="G30" s="164"/>
      <c r="H30" s="165">
        <f t="shared" si="2"/>
        <v>0</v>
      </c>
      <c r="I30" s="164"/>
      <c r="J30" s="164">
        <v>0</v>
      </c>
      <c r="K30" s="165">
        <v>0</v>
      </c>
      <c r="L30" s="166"/>
      <c r="M30" s="165">
        <f t="shared" si="1"/>
        <v>0</v>
      </c>
      <c r="N30" s="5"/>
      <c r="O30" s="171"/>
    </row>
    <row r="31" spans="1:24" ht="15" customHeight="1">
      <c r="A31" s="5" t="s">
        <v>174</v>
      </c>
      <c r="B31" s="5"/>
      <c r="C31" s="163">
        <v>0</v>
      </c>
      <c r="D31" s="164"/>
      <c r="E31" s="165">
        <v>0</v>
      </c>
      <c r="F31" s="173">
        <v>0</v>
      </c>
      <c r="G31" s="164"/>
      <c r="H31" s="165">
        <f t="shared" si="2"/>
        <v>0</v>
      </c>
      <c r="I31" s="164"/>
      <c r="J31" s="164">
        <v>0</v>
      </c>
      <c r="K31" s="165">
        <v>0</v>
      </c>
      <c r="L31" s="166"/>
      <c r="M31" s="165">
        <f t="shared" si="1"/>
        <v>0</v>
      </c>
      <c r="N31" s="5"/>
      <c r="O31" s="171"/>
    </row>
    <row r="32" spans="1:24" ht="15" customHeight="1">
      <c r="A32" s="5" t="s">
        <v>175</v>
      </c>
      <c r="B32" s="5"/>
      <c r="C32" s="163">
        <v>0</v>
      </c>
      <c r="D32" s="164"/>
      <c r="E32" s="165">
        <v>0</v>
      </c>
      <c r="F32" s="173">
        <v>0</v>
      </c>
      <c r="G32" s="164"/>
      <c r="H32" s="165">
        <f t="shared" si="2"/>
        <v>0</v>
      </c>
      <c r="I32" s="164"/>
      <c r="J32" s="164">
        <v>0</v>
      </c>
      <c r="K32" s="165">
        <v>0</v>
      </c>
      <c r="L32" s="166"/>
      <c r="M32" s="165">
        <f t="shared" si="1"/>
        <v>0</v>
      </c>
      <c r="N32" s="5"/>
      <c r="O32" s="171"/>
    </row>
    <row r="33" spans="1:16" ht="15" customHeight="1">
      <c r="A33" s="5" t="s">
        <v>176</v>
      </c>
      <c r="B33" s="5"/>
      <c r="C33" s="163">
        <v>200000</v>
      </c>
      <c r="D33" s="164"/>
      <c r="E33" s="165">
        <v>65800</v>
      </c>
      <c r="F33" s="173"/>
      <c r="G33" s="164"/>
      <c r="H33" s="165">
        <f t="shared" si="2"/>
        <v>265800</v>
      </c>
      <c r="I33" s="164"/>
      <c r="J33" s="164">
        <v>23207.309999999998</v>
      </c>
      <c r="K33" s="165">
        <v>218218.8</v>
      </c>
      <c r="L33" s="166"/>
      <c r="M33" s="165">
        <f t="shared" si="1"/>
        <v>24373.890000000014</v>
      </c>
      <c r="N33" s="5"/>
      <c r="O33" s="171"/>
    </row>
    <row r="34" spans="1:16" ht="15" customHeight="1">
      <c r="A34" s="5" t="s">
        <v>177</v>
      </c>
      <c r="B34" s="5"/>
      <c r="C34" s="163">
        <v>0</v>
      </c>
      <c r="D34" s="164"/>
      <c r="E34" s="165">
        <v>0</v>
      </c>
      <c r="F34" s="173">
        <v>0</v>
      </c>
      <c r="G34" s="164"/>
      <c r="H34" s="165">
        <f t="shared" si="2"/>
        <v>0</v>
      </c>
      <c r="I34" s="164"/>
      <c r="J34" s="164">
        <v>0</v>
      </c>
      <c r="K34" s="165">
        <v>0</v>
      </c>
      <c r="L34" s="166"/>
      <c r="M34" s="165">
        <f t="shared" si="1"/>
        <v>0</v>
      </c>
      <c r="N34" s="5"/>
      <c r="O34" s="169"/>
    </row>
    <row r="35" spans="1:16" ht="15" customHeight="1">
      <c r="A35" s="5" t="s">
        <v>178</v>
      </c>
      <c r="B35" s="5"/>
      <c r="C35" s="163">
        <v>0</v>
      </c>
      <c r="D35" s="164"/>
      <c r="E35" s="165">
        <v>0</v>
      </c>
      <c r="F35" s="173">
        <v>0</v>
      </c>
      <c r="G35" s="164"/>
      <c r="H35" s="165">
        <f t="shared" si="2"/>
        <v>0</v>
      </c>
      <c r="I35" s="164"/>
      <c r="J35" s="164">
        <v>0</v>
      </c>
      <c r="K35" s="165">
        <v>0</v>
      </c>
      <c r="L35" s="166"/>
      <c r="M35" s="165">
        <f t="shared" si="1"/>
        <v>0</v>
      </c>
      <c r="N35" s="5"/>
      <c r="O35" s="169"/>
    </row>
    <row r="36" spans="1:16" ht="15" customHeight="1">
      <c r="A36" s="5" t="s">
        <v>179</v>
      </c>
      <c r="B36" s="5"/>
      <c r="C36" s="163">
        <v>0</v>
      </c>
      <c r="D36" s="164"/>
      <c r="E36" s="165">
        <v>0</v>
      </c>
      <c r="F36" s="173">
        <v>0</v>
      </c>
      <c r="G36" s="164"/>
      <c r="H36" s="165">
        <f t="shared" si="2"/>
        <v>0</v>
      </c>
      <c r="I36" s="164"/>
      <c r="J36" s="164">
        <v>0</v>
      </c>
      <c r="K36" s="165">
        <v>0</v>
      </c>
      <c r="L36" s="166"/>
      <c r="M36" s="165">
        <f t="shared" ref="M36:M41" si="3">H36-J36-K36</f>
        <v>0</v>
      </c>
      <c r="N36" s="5"/>
      <c r="O36" s="169"/>
      <c r="P36" s="165"/>
    </row>
    <row r="37" spans="1:16" ht="15" customHeight="1">
      <c r="A37" s="5" t="s">
        <v>180</v>
      </c>
      <c r="B37" s="5"/>
      <c r="C37" s="163">
        <v>0</v>
      </c>
      <c r="D37" s="164"/>
      <c r="E37" s="165">
        <v>0</v>
      </c>
      <c r="F37" s="173">
        <v>0</v>
      </c>
      <c r="G37" s="164"/>
      <c r="H37" s="165">
        <f t="shared" si="2"/>
        <v>0</v>
      </c>
      <c r="I37" s="164"/>
      <c r="J37" s="164">
        <v>0</v>
      </c>
      <c r="K37" s="165">
        <v>0</v>
      </c>
      <c r="L37" s="166"/>
      <c r="M37" s="165">
        <f t="shared" si="3"/>
        <v>0</v>
      </c>
      <c r="N37" s="5"/>
      <c r="O37" s="169"/>
    </row>
    <row r="38" spans="1:16" ht="15" customHeight="1">
      <c r="A38" s="5" t="s">
        <v>181</v>
      </c>
      <c r="B38" s="5"/>
      <c r="C38" s="163">
        <v>0</v>
      </c>
      <c r="D38" s="164"/>
      <c r="E38" s="165">
        <v>0</v>
      </c>
      <c r="F38" s="173">
        <v>0</v>
      </c>
      <c r="G38" s="164"/>
      <c r="H38" s="165">
        <f t="shared" si="2"/>
        <v>0</v>
      </c>
      <c r="I38" s="164"/>
      <c r="J38" s="164">
        <v>0</v>
      </c>
      <c r="K38" s="165">
        <v>0</v>
      </c>
      <c r="L38" s="166"/>
      <c r="M38" s="165">
        <f t="shared" si="3"/>
        <v>0</v>
      </c>
      <c r="N38" s="5"/>
      <c r="O38" s="169"/>
    </row>
    <row r="39" spans="1:16" ht="15" customHeight="1">
      <c r="A39" s="5" t="s">
        <v>182</v>
      </c>
      <c r="B39" s="5"/>
      <c r="C39" s="163">
        <v>0</v>
      </c>
      <c r="D39" s="164"/>
      <c r="E39" s="165">
        <v>0</v>
      </c>
      <c r="F39" s="173">
        <v>0</v>
      </c>
      <c r="G39" s="164"/>
      <c r="H39" s="165">
        <f t="shared" ref="H39" si="4">+C39+E39+F39</f>
        <v>0</v>
      </c>
      <c r="I39" s="164"/>
      <c r="J39" s="164">
        <v>0</v>
      </c>
      <c r="K39" s="165">
        <v>0</v>
      </c>
      <c r="L39" s="166"/>
      <c r="M39" s="165">
        <f t="shared" ref="M39" si="5">H39-J39-K39</f>
        <v>0</v>
      </c>
      <c r="N39" s="5"/>
      <c r="O39" s="169"/>
    </row>
    <row r="40" spans="1:16" ht="15" customHeight="1">
      <c r="A40" s="5" t="s">
        <v>183</v>
      </c>
      <c r="B40" s="5"/>
      <c r="C40" s="163">
        <v>0</v>
      </c>
      <c r="D40" s="164"/>
      <c r="E40" s="165">
        <v>0</v>
      </c>
      <c r="F40" s="173">
        <v>0</v>
      </c>
      <c r="G40" s="164"/>
      <c r="H40" s="165">
        <f t="shared" ref="H40:H41" si="6">+C40+E40+F40</f>
        <v>0</v>
      </c>
      <c r="I40" s="164"/>
      <c r="J40" s="164">
        <v>0</v>
      </c>
      <c r="K40" s="165">
        <v>0</v>
      </c>
      <c r="L40" s="166"/>
      <c r="M40" s="165">
        <f t="shared" si="3"/>
        <v>0</v>
      </c>
      <c r="N40" s="5"/>
      <c r="O40" s="169"/>
    </row>
    <row r="41" spans="1:16" ht="15" customHeight="1">
      <c r="A41" s="5" t="s">
        <v>184</v>
      </c>
      <c r="B41" s="5"/>
      <c r="C41" s="163">
        <v>0</v>
      </c>
      <c r="D41" s="164"/>
      <c r="E41" s="165">
        <v>0</v>
      </c>
      <c r="F41" s="173">
        <v>0</v>
      </c>
      <c r="G41" s="164"/>
      <c r="H41" s="165">
        <f t="shared" si="6"/>
        <v>0</v>
      </c>
      <c r="I41" s="164"/>
      <c r="J41" s="164">
        <v>0</v>
      </c>
      <c r="K41" s="165">
        <v>0</v>
      </c>
      <c r="L41" s="166"/>
      <c r="M41" s="165">
        <f t="shared" si="3"/>
        <v>0</v>
      </c>
      <c r="N41" s="5"/>
      <c r="O41" s="169"/>
    </row>
    <row r="42" spans="1:16" ht="15" customHeight="1">
      <c r="A42" s="36" t="s">
        <v>153</v>
      </c>
      <c r="B42" s="5"/>
      <c r="C42" s="167">
        <f>SUM(C15:C41)</f>
        <v>224300</v>
      </c>
      <c r="D42" s="164"/>
      <c r="E42" s="167">
        <f>SUM(E15:E38)</f>
        <v>65800</v>
      </c>
      <c r="F42" s="167">
        <f>SUM(F15:F41)</f>
        <v>0</v>
      </c>
      <c r="G42" s="164"/>
      <c r="H42" s="167">
        <f>SUM(H15:H41)</f>
        <v>290100</v>
      </c>
      <c r="I42" s="164"/>
      <c r="J42" s="167">
        <f>SUM(J15:J41)</f>
        <v>23207.309999999998</v>
      </c>
      <c r="K42" s="168">
        <f>SUM(K15:K41)</f>
        <v>218218.8</v>
      </c>
      <c r="L42" s="164"/>
      <c r="M42" s="167">
        <f>SUM(M15:M41)</f>
        <v>48673.890000000014</v>
      </c>
      <c r="N42" s="5"/>
      <c r="O42" s="169"/>
    </row>
    <row r="43" spans="1:16" ht="15" customHeight="1">
      <c r="A43" s="36" t="s">
        <v>154</v>
      </c>
      <c r="B43" s="5"/>
      <c r="C43" s="167">
        <f>C13-C42</f>
        <v>-66592.700000000012</v>
      </c>
      <c r="D43" s="164"/>
      <c r="E43" s="164"/>
      <c r="F43" s="164"/>
      <c r="G43" s="164"/>
      <c r="H43" s="167">
        <f>H13-H42</f>
        <v>-90099.700000000012</v>
      </c>
      <c r="I43" s="164"/>
      <c r="J43" s="164"/>
      <c r="K43" s="164"/>
      <c r="L43" s="164"/>
      <c r="M43" s="164"/>
      <c r="N43" s="5"/>
      <c r="O43" s="169"/>
    </row>
    <row r="44" spans="1:16" ht="1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175"/>
      <c r="L44" s="5"/>
      <c r="M44" s="5"/>
      <c r="N44" s="5"/>
      <c r="O44" s="169"/>
    </row>
    <row r="45" spans="1:16" ht="15" customHeight="1">
      <c r="K45" s="80"/>
      <c r="O45" s="169"/>
    </row>
    <row r="46" spans="1:16" ht="15" customHeight="1">
      <c r="O46" s="169"/>
    </row>
    <row r="47" spans="1:16" ht="15" customHeight="1">
      <c r="H47" s="80"/>
      <c r="J47" s="80"/>
      <c r="O47" s="169"/>
    </row>
    <row r="48" spans="1:16" ht="15.75">
      <c r="O48" s="169"/>
    </row>
    <row r="49" spans="15:15" ht="15.75">
      <c r="O49" s="169"/>
    </row>
    <row r="50" spans="15:15" ht="15.75">
      <c r="O50" s="169"/>
    </row>
    <row r="51" spans="15:15" ht="15.75">
      <c r="O51" s="169"/>
    </row>
    <row r="52" spans="15:15" ht="15.75">
      <c r="O52" s="169"/>
    </row>
    <row r="53" spans="15:15" ht="15.75">
      <c r="O53" s="169"/>
    </row>
    <row r="54" spans="15:15" ht="15.75">
      <c r="O54" s="169"/>
    </row>
    <row r="55" spans="15:15" ht="15.75">
      <c r="O55" s="169"/>
    </row>
    <row r="56" spans="15:15" ht="15.75">
      <c r="O56" s="169"/>
    </row>
    <row r="57" spans="15:15" ht="15.75">
      <c r="O57" s="169"/>
    </row>
  </sheetData>
  <mergeCells count="4">
    <mergeCell ref="A1:M1"/>
    <mergeCell ref="A2:M2"/>
    <mergeCell ref="A3:M3"/>
    <mergeCell ref="A4:M4"/>
  </mergeCells>
  <pageMargins left="0.7" right="0.7" top="0.75" bottom="0.75" header="0.3" footer="0.3"/>
  <pageSetup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4CD8D-A300-48C0-8131-8D161CD0176B}">
  <sheetPr>
    <tabColor theme="2" tint="-0.499984740745262"/>
  </sheetPr>
  <dimension ref="A1:N15"/>
  <sheetViews>
    <sheetView workbookViewId="0">
      <selection activeCell="K27" sqref="K27"/>
    </sheetView>
  </sheetViews>
  <sheetFormatPr defaultRowHeight="15"/>
  <cols>
    <col min="1" max="1" width="32.5703125" bestFit="1" customWidth="1"/>
    <col min="2" max="2" width="1.7109375" customWidth="1"/>
    <col min="3" max="3" width="10.5703125" bestFit="1" customWidth="1"/>
    <col min="4" max="4" width="1.7109375" customWidth="1"/>
    <col min="5" max="5" width="11.5703125" customWidth="1"/>
    <col min="6" max="6" width="1.7109375" customWidth="1"/>
    <col min="7" max="7" width="11.7109375" bestFit="1" customWidth="1"/>
    <col min="8" max="8" width="1.7109375" customWidth="1"/>
    <col min="9" max="9" width="14" customWidth="1"/>
    <col min="10" max="10" width="1.7109375" customWidth="1"/>
    <col min="11" max="11" width="10.140625" customWidth="1"/>
  </cols>
  <sheetData>
    <row r="1" spans="1:14">
      <c r="A1" s="259" t="s">
        <v>65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4">
      <c r="A2" s="259" t="s">
        <v>185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</row>
    <row r="3" spans="1:14">
      <c r="A3" s="259" t="s">
        <v>147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</row>
    <row r="4" spans="1:14" ht="15" customHeight="1">
      <c r="A4" s="259" t="str">
        <f>'Budget Committee'!A4:L4</f>
        <v>As of March 31, 2025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ht="52.5" thickBot="1">
      <c r="A6" s="204" t="s">
        <v>68</v>
      </c>
      <c r="B6" s="205"/>
      <c r="C6" s="206" t="s">
        <v>72</v>
      </c>
      <c r="D6" s="207"/>
      <c r="E6" s="206" t="s">
        <v>73</v>
      </c>
      <c r="F6" s="207"/>
      <c r="G6" s="206" t="s">
        <v>74</v>
      </c>
      <c r="H6" s="207"/>
      <c r="I6" s="38" t="s">
        <v>186</v>
      </c>
      <c r="J6" s="38"/>
      <c r="K6" s="206" t="s">
        <v>150</v>
      </c>
      <c r="L6" s="208"/>
    </row>
    <row r="7" spans="1:14">
      <c r="A7" s="208" t="s">
        <v>90</v>
      </c>
      <c r="B7" s="208"/>
      <c r="C7" s="209">
        <f>Referendums!E35</f>
        <v>23420</v>
      </c>
      <c r="D7" s="210"/>
      <c r="E7" s="209">
        <v>0</v>
      </c>
      <c r="F7" s="210"/>
      <c r="G7" s="211">
        <f>+C7+E7</f>
        <v>23420</v>
      </c>
      <c r="H7" s="210"/>
      <c r="I7" s="212"/>
      <c r="J7" s="213"/>
      <c r="K7" s="211">
        <f>G7-I7</f>
        <v>23420</v>
      </c>
      <c r="L7" s="208"/>
    </row>
    <row r="8" spans="1:14">
      <c r="A8" s="208" t="s">
        <v>93</v>
      </c>
      <c r="B8" s="208"/>
      <c r="C8" s="209">
        <f>Referendums!E39</f>
        <v>20935</v>
      </c>
      <c r="D8" s="210"/>
      <c r="E8" s="209">
        <v>0</v>
      </c>
      <c r="F8" s="210"/>
      <c r="G8" s="211">
        <f>+C8+E8</f>
        <v>20935</v>
      </c>
      <c r="H8" s="210"/>
      <c r="I8" s="212"/>
      <c r="J8" s="213"/>
      <c r="K8" s="211">
        <f>G8-I8</f>
        <v>20935</v>
      </c>
      <c r="L8" s="208"/>
      <c r="N8" s="4"/>
    </row>
    <row r="9" spans="1:14">
      <c r="A9" s="214" t="s">
        <v>97</v>
      </c>
      <c r="B9" s="208"/>
      <c r="C9" s="215">
        <f>SUM(C7:C8)</f>
        <v>44355</v>
      </c>
      <c r="D9" s="210"/>
      <c r="E9" s="215">
        <f>SUM(E7:E8)</f>
        <v>0</v>
      </c>
      <c r="F9" s="210"/>
      <c r="G9" s="216">
        <f>SUM(G7:G8)</f>
        <v>44355</v>
      </c>
      <c r="H9" s="210"/>
      <c r="I9" s="212"/>
      <c r="J9" s="213"/>
      <c r="K9" s="216">
        <f>SUM(K7:K8)</f>
        <v>44355</v>
      </c>
      <c r="L9" s="208"/>
    </row>
    <row r="10" spans="1:14">
      <c r="A10" s="208"/>
      <c r="B10" s="208"/>
      <c r="C10" s="209"/>
      <c r="D10" s="210"/>
      <c r="E10" s="209"/>
      <c r="F10" s="210"/>
      <c r="G10" s="211"/>
      <c r="H10" s="210"/>
      <c r="I10" s="211"/>
      <c r="J10" s="213"/>
      <c r="K10" s="211"/>
      <c r="L10" s="208"/>
    </row>
    <row r="11" spans="1:14">
      <c r="A11" s="5" t="s">
        <v>104</v>
      </c>
      <c r="B11" s="208"/>
      <c r="C11" s="209">
        <v>5900</v>
      </c>
      <c r="D11" s="210"/>
      <c r="E11" s="209">
        <v>0</v>
      </c>
      <c r="F11" s="210"/>
      <c r="G11" s="211">
        <f>C11-E11</f>
        <v>5900</v>
      </c>
      <c r="H11" s="210"/>
      <c r="I11" s="211">
        <v>0</v>
      </c>
      <c r="J11" s="213"/>
      <c r="K11" s="211">
        <f>G11-I11</f>
        <v>5900</v>
      </c>
      <c r="L11" s="208"/>
    </row>
    <row r="12" spans="1:14">
      <c r="A12" s="5" t="s">
        <v>187</v>
      </c>
      <c r="B12" s="208"/>
      <c r="C12" s="209">
        <v>0</v>
      </c>
      <c r="D12" s="210"/>
      <c r="E12" s="209">
        <v>0</v>
      </c>
      <c r="F12" s="210"/>
      <c r="G12" s="211">
        <f>+C12+E12</f>
        <v>0</v>
      </c>
      <c r="H12" s="210"/>
      <c r="I12" s="211">
        <v>0</v>
      </c>
      <c r="J12" s="213"/>
      <c r="K12" s="211">
        <f>G12-I12</f>
        <v>0</v>
      </c>
      <c r="L12" s="208"/>
    </row>
    <row r="13" spans="1:14">
      <c r="A13" s="36" t="s">
        <v>153</v>
      </c>
      <c r="B13" s="208"/>
      <c r="C13" s="215">
        <f>SUM(C11:C12)</f>
        <v>5900</v>
      </c>
      <c r="D13" s="215"/>
      <c r="E13" s="215">
        <f>SUM(E11:E12)</f>
        <v>0</v>
      </c>
      <c r="F13" s="210"/>
      <c r="G13" s="215">
        <f>SUM(G11:G12)</f>
        <v>5900</v>
      </c>
      <c r="H13" s="210"/>
      <c r="I13" s="215">
        <f>SUM(I11:I12)</f>
        <v>0</v>
      </c>
      <c r="J13" s="210"/>
      <c r="K13" s="215">
        <f>SUM(K11:K12)</f>
        <v>5900</v>
      </c>
      <c r="L13" s="208"/>
    </row>
    <row r="14" spans="1:14">
      <c r="A14" s="36" t="s">
        <v>154</v>
      </c>
      <c r="B14" s="208"/>
      <c r="C14" s="215">
        <f>C9-C13</f>
        <v>38455</v>
      </c>
      <c r="D14" s="215"/>
      <c r="E14" s="210"/>
      <c r="F14" s="210"/>
      <c r="G14" s="215">
        <f>G9-G13</f>
        <v>38455</v>
      </c>
      <c r="H14" s="210"/>
      <c r="I14" s="210"/>
      <c r="J14" s="210"/>
      <c r="K14" s="210"/>
      <c r="L14" s="208"/>
    </row>
    <row r="15" spans="1:14">
      <c r="A15" s="208"/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EA617-0A09-4AD2-B639-C6E97234C631}">
  <sheetPr>
    <tabColor theme="2" tint="-0.499984740745262"/>
  </sheetPr>
  <dimension ref="A1:O24"/>
  <sheetViews>
    <sheetView workbookViewId="0">
      <selection activeCell="G23" sqref="G23"/>
    </sheetView>
  </sheetViews>
  <sheetFormatPr defaultRowHeight="15"/>
  <cols>
    <col min="1" max="1" width="35.42578125" bestFit="1" customWidth="1"/>
    <col min="2" max="2" width="2.7109375" customWidth="1"/>
    <col min="3" max="3" width="10.5703125" bestFit="1" customWidth="1"/>
    <col min="4" max="4" width="1.7109375" customWidth="1"/>
    <col min="5" max="5" width="11.5703125" customWidth="1"/>
    <col min="6" max="6" width="1.7109375" customWidth="1"/>
    <col min="7" max="7" width="11.7109375" customWidth="1"/>
    <col min="8" max="8" width="1.7109375" customWidth="1"/>
    <col min="9" max="9" width="16.42578125" hidden="1" customWidth="1"/>
    <col min="10" max="10" width="1.7109375" hidden="1" customWidth="1"/>
    <col min="11" max="11" width="14" customWidth="1"/>
    <col min="12" max="12" width="1.7109375" customWidth="1"/>
    <col min="13" max="13" width="10.140625" customWidth="1"/>
    <col min="14" max="14" width="19.28515625" bestFit="1" customWidth="1"/>
  </cols>
  <sheetData>
    <row r="1" spans="1:15">
      <c r="A1" s="259" t="s">
        <v>65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</row>
    <row r="2" spans="1:15">
      <c r="A2" s="259" t="s">
        <v>188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</row>
    <row r="3" spans="1:15">
      <c r="A3" s="259" t="s">
        <v>189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</row>
    <row r="4" spans="1:15" ht="12.75" customHeight="1">
      <c r="A4" s="259" t="str">
        <f>'Budget Committee'!A4:L4</f>
        <v>As of March 31, 2025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 ht="52.5" thickBot="1">
      <c r="A6" s="204" t="s">
        <v>68</v>
      </c>
      <c r="B6" s="205"/>
      <c r="C6" s="206" t="s">
        <v>72</v>
      </c>
      <c r="D6" s="207"/>
      <c r="E6" s="206" t="s">
        <v>73</v>
      </c>
      <c r="F6" s="207"/>
      <c r="G6" s="206" t="s">
        <v>74</v>
      </c>
      <c r="H6" s="207"/>
      <c r="I6" s="206" t="s">
        <v>190</v>
      </c>
      <c r="J6" s="207"/>
      <c r="K6" s="37" t="s">
        <v>186</v>
      </c>
      <c r="L6" s="38"/>
      <c r="M6" s="206" t="s">
        <v>150</v>
      </c>
      <c r="N6" s="208"/>
    </row>
    <row r="7" spans="1:15">
      <c r="A7" s="208" t="s">
        <v>90</v>
      </c>
      <c r="B7" s="208"/>
      <c r="C7" s="209">
        <f>Referendums!E47</f>
        <v>16955.766819891349</v>
      </c>
      <c r="D7" s="210"/>
      <c r="E7" s="209">
        <v>0</v>
      </c>
      <c r="F7" s="210"/>
      <c r="G7" s="211">
        <f>+C7+E7</f>
        <v>16955.766819891349</v>
      </c>
      <c r="H7" s="210"/>
      <c r="I7" s="210"/>
      <c r="J7" s="210"/>
      <c r="K7" s="217"/>
      <c r="L7" s="213"/>
      <c r="M7" s="211">
        <f>G7-K7</f>
        <v>16955.766819891349</v>
      </c>
      <c r="N7" s="208"/>
    </row>
    <row r="8" spans="1:15">
      <c r="A8" s="208" t="s">
        <v>93</v>
      </c>
      <c r="B8" s="208"/>
      <c r="C8" s="209">
        <f>Referendums!E51</f>
        <v>15467.538552507096</v>
      </c>
      <c r="D8" s="210"/>
      <c r="E8" s="209">
        <v>0</v>
      </c>
      <c r="F8" s="210"/>
      <c r="G8" s="211">
        <f>+C8+E8</f>
        <v>15467.538552507096</v>
      </c>
      <c r="H8" s="210"/>
      <c r="I8" s="210"/>
      <c r="J8" s="210"/>
      <c r="K8" s="217"/>
      <c r="L8" s="213"/>
      <c r="M8" s="211">
        <f>G8-K8</f>
        <v>15467.538552507096</v>
      </c>
      <c r="N8" s="208"/>
      <c r="O8" s="4"/>
    </row>
    <row r="9" spans="1:15">
      <c r="A9" s="214" t="s">
        <v>97</v>
      </c>
      <c r="B9" s="208"/>
      <c r="C9" s="215">
        <f>SUM(C7:C8)</f>
        <v>32423.305372398445</v>
      </c>
      <c r="D9" s="210"/>
      <c r="E9" s="215">
        <f>SUM(E7:E8)</f>
        <v>0</v>
      </c>
      <c r="F9" s="210"/>
      <c r="G9" s="216">
        <f>SUM(G7:G8)</f>
        <v>32423.305372398445</v>
      </c>
      <c r="H9" s="210"/>
      <c r="I9" s="215"/>
      <c r="J9" s="210"/>
      <c r="K9" s="212"/>
      <c r="L9" s="213"/>
      <c r="M9" s="216">
        <f>SUM(M7:M8)</f>
        <v>32423.305372398445</v>
      </c>
      <c r="N9" s="208"/>
    </row>
    <row r="10" spans="1:15">
      <c r="A10" s="208"/>
      <c r="B10" s="208"/>
      <c r="C10" s="209"/>
      <c r="D10" s="210"/>
      <c r="E10" s="209"/>
      <c r="F10" s="210"/>
      <c r="G10" s="211"/>
      <c r="H10" s="210"/>
      <c r="I10" s="210"/>
      <c r="J10" s="210"/>
      <c r="K10" s="211"/>
      <c r="L10" s="213"/>
      <c r="M10" s="211"/>
      <c r="N10" s="208"/>
    </row>
    <row r="11" spans="1:15">
      <c r="A11" s="5" t="s">
        <v>104</v>
      </c>
      <c r="B11" s="208"/>
      <c r="C11" s="209">
        <v>4300</v>
      </c>
      <c r="D11" s="210"/>
      <c r="E11" s="209">
        <v>23702</v>
      </c>
      <c r="F11" s="210"/>
      <c r="G11" s="211">
        <f t="shared" ref="G11" si="0">C11+E11</f>
        <v>28002</v>
      </c>
      <c r="H11" s="210"/>
      <c r="I11" s="210"/>
      <c r="J11" s="210"/>
      <c r="K11" s="211">
        <v>0</v>
      </c>
      <c r="L11" s="213"/>
      <c r="M11" s="211">
        <f t="shared" ref="M11" si="1">G11-K11</f>
        <v>28002</v>
      </c>
      <c r="N11" s="208"/>
      <c r="O11" s="211"/>
    </row>
    <row r="12" spans="1:15">
      <c r="A12" s="5" t="s">
        <v>191</v>
      </c>
      <c r="B12" s="208"/>
      <c r="C12" s="209">
        <v>0</v>
      </c>
      <c r="D12" s="210"/>
      <c r="E12" s="209">
        <v>0</v>
      </c>
      <c r="F12" s="210"/>
      <c r="G12" s="211">
        <f t="shared" ref="G12" si="2">+C12+E12</f>
        <v>0</v>
      </c>
      <c r="H12" s="210"/>
      <c r="I12" s="210"/>
      <c r="J12" s="210"/>
      <c r="K12" s="211">
        <v>0</v>
      </c>
      <c r="L12" s="213"/>
      <c r="M12" s="211">
        <f t="shared" ref="M12" si="3">+G12-K12</f>
        <v>0</v>
      </c>
      <c r="N12" s="208"/>
      <c r="O12" s="211"/>
    </row>
    <row r="13" spans="1:15">
      <c r="A13" s="5" t="s">
        <v>192</v>
      </c>
      <c r="B13" s="208"/>
      <c r="C13" s="209">
        <v>0</v>
      </c>
      <c r="D13" s="210"/>
      <c r="E13" s="209">
        <v>0</v>
      </c>
      <c r="F13" s="210"/>
      <c r="G13" s="211">
        <f t="shared" ref="G13" si="4">+C13+E13</f>
        <v>0</v>
      </c>
      <c r="H13" s="210"/>
      <c r="I13" s="210"/>
      <c r="J13" s="210"/>
      <c r="K13" s="211">
        <v>0</v>
      </c>
      <c r="L13" s="213"/>
      <c r="M13" s="211">
        <f t="shared" ref="M13" si="5">+G13-K13</f>
        <v>0</v>
      </c>
      <c r="N13" s="208"/>
      <c r="O13" s="211"/>
    </row>
    <row r="14" spans="1:15">
      <c r="A14" s="36" t="s">
        <v>153</v>
      </c>
      <c r="B14" s="208"/>
      <c r="C14" s="215">
        <f>SUM(C11:C11)</f>
        <v>4300</v>
      </c>
      <c r="D14" s="210"/>
      <c r="E14" s="215">
        <f>SUM(E11:E13)</f>
        <v>23702</v>
      </c>
      <c r="F14" s="210"/>
      <c r="G14" s="215">
        <f>SUM(G11:G13)</f>
        <v>28002</v>
      </c>
      <c r="H14" s="210"/>
      <c r="I14" s="215">
        <f>SUM(I11:I11)</f>
        <v>0</v>
      </c>
      <c r="J14" s="210"/>
      <c r="K14" s="215">
        <f>SUM(K11:K13)</f>
        <v>0</v>
      </c>
      <c r="L14" s="210"/>
      <c r="M14" s="215">
        <f>SUM(M11:M11)</f>
        <v>28002</v>
      </c>
      <c r="N14" s="208"/>
    </row>
    <row r="15" spans="1:15">
      <c r="A15" s="36" t="s">
        <v>154</v>
      </c>
      <c r="B15" s="208"/>
      <c r="C15" s="215">
        <f>C9-C14</f>
        <v>28123.305372398445</v>
      </c>
      <c r="D15" s="210"/>
      <c r="E15" s="210"/>
      <c r="F15" s="210"/>
      <c r="G15" s="215">
        <f>G9-G14</f>
        <v>4421.3053723984449</v>
      </c>
      <c r="H15" s="210"/>
      <c r="I15" s="210"/>
      <c r="J15" s="210"/>
      <c r="K15" s="210"/>
      <c r="L15" s="210"/>
      <c r="M15" s="210"/>
      <c r="N15" s="208"/>
    </row>
    <row r="16" spans="1:15">
      <c r="A16" s="208"/>
      <c r="B16" s="208"/>
      <c r="C16" s="208"/>
      <c r="D16" s="208"/>
      <c r="E16" s="208"/>
      <c r="F16" s="208"/>
      <c r="G16" s="208"/>
      <c r="H16" s="208"/>
      <c r="I16" s="208"/>
      <c r="J16" s="208"/>
      <c r="K16" s="218"/>
      <c r="L16" s="208"/>
      <c r="M16" s="208"/>
      <c r="N16" s="208"/>
    </row>
    <row r="17" spans="11:15">
      <c r="K17" s="4"/>
    </row>
    <row r="24" spans="11:15">
      <c r="O24" s="4"/>
    </row>
  </sheetData>
  <mergeCells count="4">
    <mergeCell ref="A1:M1"/>
    <mergeCell ref="A2:M2"/>
    <mergeCell ref="A3:M3"/>
    <mergeCell ref="A4:M4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EE3BF-83AD-470F-B2CB-EF3D8DF634D4}">
  <sheetPr>
    <tabColor theme="2" tint="-0.499984740745262"/>
  </sheetPr>
  <dimension ref="A1:O23"/>
  <sheetViews>
    <sheetView workbookViewId="0">
      <selection activeCell="P33" sqref="P33"/>
    </sheetView>
  </sheetViews>
  <sheetFormatPr defaultRowHeight="15"/>
  <cols>
    <col min="1" max="1" width="32.5703125" bestFit="1" customWidth="1"/>
    <col min="2" max="2" width="1.7109375" customWidth="1"/>
    <col min="3" max="3" width="10.5703125" bestFit="1" customWidth="1"/>
    <col min="4" max="4" width="1.7109375" customWidth="1"/>
    <col min="5" max="5" width="11.5703125" customWidth="1"/>
    <col min="6" max="6" width="1.7109375" customWidth="1"/>
    <col min="7" max="7" width="11.7109375" bestFit="1" customWidth="1"/>
    <col min="8" max="8" width="1.7109375" customWidth="1"/>
    <col min="9" max="9" width="15.28515625" hidden="1" customWidth="1"/>
    <col min="10" max="10" width="14" customWidth="1"/>
    <col min="11" max="11" width="1.7109375" customWidth="1"/>
    <col min="12" max="12" width="11" customWidth="1"/>
  </cols>
  <sheetData>
    <row r="1" spans="1:15">
      <c r="A1" s="259" t="s">
        <v>65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</row>
    <row r="2" spans="1:15">
      <c r="A2" s="259" t="s">
        <v>193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</row>
    <row r="3" spans="1:15">
      <c r="A3" s="259" t="s">
        <v>147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</row>
    <row r="4" spans="1:15" ht="13.15" customHeight="1">
      <c r="A4" s="259" t="str">
        <f>'Budget Committee'!A4:L4</f>
        <v>As of March 31, 2025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</row>
    <row r="5" spans="1:15" ht="13.1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5" ht="27" thickBot="1">
      <c r="A7" s="204" t="s">
        <v>68</v>
      </c>
      <c r="B7" s="205"/>
      <c r="C7" s="206" t="s">
        <v>72</v>
      </c>
      <c r="D7" s="207"/>
      <c r="E7" s="206" t="s">
        <v>73</v>
      </c>
      <c r="F7" s="207"/>
      <c r="G7" s="206" t="s">
        <v>74</v>
      </c>
      <c r="H7" s="207"/>
      <c r="I7" s="37" t="s">
        <v>148</v>
      </c>
      <c r="J7" s="37" t="s">
        <v>194</v>
      </c>
      <c r="K7" s="38"/>
      <c r="L7" s="206" t="s">
        <v>150</v>
      </c>
      <c r="M7" s="208"/>
    </row>
    <row r="8" spans="1:15">
      <c r="A8" s="208" t="s">
        <v>90</v>
      </c>
      <c r="B8" s="208"/>
      <c r="C8" s="209">
        <f>Referendums!E59</f>
        <v>14052</v>
      </c>
      <c r="D8" s="210"/>
      <c r="E8" s="209">
        <v>0</v>
      </c>
      <c r="F8" s="210"/>
      <c r="G8" s="211">
        <f>+C8+E8</f>
        <v>14052</v>
      </c>
      <c r="H8" s="210"/>
      <c r="I8" s="210"/>
      <c r="J8" s="217"/>
      <c r="K8" s="213"/>
      <c r="L8" s="211">
        <f>G8-I8-J8</f>
        <v>14052</v>
      </c>
      <c r="M8" s="208"/>
    </row>
    <row r="9" spans="1:15">
      <c r="A9" s="208" t="s">
        <v>93</v>
      </c>
      <c r="B9" s="208"/>
      <c r="C9" s="209">
        <f>Referendums!E63</f>
        <v>12561</v>
      </c>
      <c r="D9" s="210"/>
      <c r="E9" s="209">
        <v>0</v>
      </c>
      <c r="F9" s="210"/>
      <c r="G9" s="211">
        <f>+C9+E9</f>
        <v>12561</v>
      </c>
      <c r="H9" s="210"/>
      <c r="I9" s="210"/>
      <c r="J9" s="217"/>
      <c r="K9" s="213"/>
      <c r="L9" s="211">
        <f t="shared" ref="L9:L10" si="0">G9-I9-J9</f>
        <v>12561</v>
      </c>
      <c r="M9" s="208"/>
      <c r="O9" s="4"/>
    </row>
    <row r="10" spans="1:15">
      <c r="A10" s="208" t="s">
        <v>195</v>
      </c>
      <c r="B10" s="208"/>
      <c r="C10" s="209">
        <v>0</v>
      </c>
      <c r="D10" s="210"/>
      <c r="E10" s="209"/>
      <c r="F10" s="210"/>
      <c r="G10" s="211">
        <f>C10+E10</f>
        <v>0</v>
      </c>
      <c r="H10" s="210"/>
      <c r="I10" s="210"/>
      <c r="J10" s="217"/>
      <c r="K10" s="213"/>
      <c r="L10" s="211">
        <f t="shared" si="0"/>
        <v>0</v>
      </c>
      <c r="M10" s="208"/>
    </row>
    <row r="11" spans="1:15">
      <c r="A11" s="214" t="s">
        <v>97</v>
      </c>
      <c r="B11" s="208"/>
      <c r="C11" s="215">
        <f>SUM(C8:C10)</f>
        <v>26613</v>
      </c>
      <c r="D11" s="210"/>
      <c r="E11" s="215">
        <f>SUM(E8:E9)</f>
        <v>0</v>
      </c>
      <c r="F11" s="210"/>
      <c r="G11" s="216">
        <f>SUM(G8:G10)</f>
        <v>26613</v>
      </c>
      <c r="H11" s="210"/>
      <c r="I11" s="216">
        <f>SUM(I8:I10)</f>
        <v>0</v>
      </c>
      <c r="J11" s="212"/>
      <c r="K11" s="213"/>
      <c r="L11" s="216">
        <f>SUM(L8:L10)</f>
        <v>26613</v>
      </c>
      <c r="M11" s="208"/>
    </row>
    <row r="12" spans="1:15">
      <c r="A12" s="208"/>
      <c r="B12" s="208"/>
      <c r="C12" s="209"/>
      <c r="D12" s="210"/>
      <c r="E12" s="209"/>
      <c r="F12" s="210"/>
      <c r="G12" s="211"/>
      <c r="H12" s="210"/>
      <c r="I12" s="210"/>
      <c r="J12" s="211"/>
      <c r="K12" s="213"/>
      <c r="L12" s="211"/>
      <c r="M12" s="208"/>
    </row>
    <row r="13" spans="1:15">
      <c r="A13" s="5" t="s">
        <v>104</v>
      </c>
      <c r="B13" s="208"/>
      <c r="C13" s="209">
        <v>3500</v>
      </c>
      <c r="D13" s="210"/>
      <c r="E13" s="209">
        <v>0</v>
      </c>
      <c r="F13" s="210"/>
      <c r="G13" s="211">
        <f>+C13+E13</f>
        <v>3500</v>
      </c>
      <c r="H13" s="210"/>
      <c r="I13" s="210"/>
      <c r="J13" s="211">
        <v>0</v>
      </c>
      <c r="K13" s="213"/>
      <c r="L13" s="211">
        <f t="shared" ref="L13:L19" si="1">G13-I13-J13</f>
        <v>3500</v>
      </c>
      <c r="M13" s="208"/>
    </row>
    <row r="14" spans="1:15">
      <c r="A14" s="5" t="s">
        <v>187</v>
      </c>
      <c r="B14" s="208"/>
      <c r="C14" s="209">
        <v>0</v>
      </c>
      <c r="D14" s="210"/>
      <c r="E14" s="209">
        <v>0</v>
      </c>
      <c r="F14" s="210"/>
      <c r="G14" s="211">
        <f>+C14+E14</f>
        <v>0</v>
      </c>
      <c r="H14" s="210"/>
      <c r="I14" s="210"/>
      <c r="J14" s="211">
        <v>0</v>
      </c>
      <c r="K14" s="213"/>
      <c r="L14" s="211">
        <f t="shared" si="1"/>
        <v>0</v>
      </c>
      <c r="M14" s="208"/>
    </row>
    <row r="15" spans="1:15" hidden="1">
      <c r="A15" s="5" t="s">
        <v>196</v>
      </c>
      <c r="B15" s="208"/>
      <c r="C15" s="209">
        <v>0</v>
      </c>
      <c r="D15" s="210"/>
      <c r="E15" s="209">
        <v>0</v>
      </c>
      <c r="F15" s="210"/>
      <c r="G15" s="211">
        <f>+C15+E15</f>
        <v>0</v>
      </c>
      <c r="H15" s="210"/>
      <c r="I15" s="210"/>
      <c r="J15" s="211">
        <v>0</v>
      </c>
      <c r="K15" s="213"/>
      <c r="L15" s="211">
        <f t="shared" si="1"/>
        <v>0</v>
      </c>
      <c r="M15" s="208"/>
    </row>
    <row r="16" spans="1:15" hidden="1">
      <c r="A16" s="5" t="s">
        <v>197</v>
      </c>
      <c r="B16" s="208"/>
      <c r="C16" s="209">
        <v>0</v>
      </c>
      <c r="D16" s="210"/>
      <c r="E16" s="209">
        <v>0</v>
      </c>
      <c r="F16" s="210"/>
      <c r="G16" s="211">
        <f>+C16+E16</f>
        <v>0</v>
      </c>
      <c r="H16" s="210"/>
      <c r="I16" s="210">
        <v>0</v>
      </c>
      <c r="J16" s="211">
        <v>0</v>
      </c>
      <c r="K16" s="213"/>
      <c r="L16" s="211">
        <f t="shared" si="1"/>
        <v>0</v>
      </c>
      <c r="M16" s="208"/>
    </row>
    <row r="17" spans="1:13" hidden="1">
      <c r="A17" s="5" t="s">
        <v>198</v>
      </c>
      <c r="B17" s="208"/>
      <c r="C17" s="209">
        <v>0</v>
      </c>
      <c r="D17" s="210"/>
      <c r="E17" s="209">
        <v>0</v>
      </c>
      <c r="F17" s="210"/>
      <c r="G17" s="211">
        <f t="shared" ref="G17:G19" si="2">+C17+E17</f>
        <v>0</v>
      </c>
      <c r="H17" s="210"/>
      <c r="I17" s="210"/>
      <c r="J17" s="211">
        <v>0</v>
      </c>
      <c r="K17" s="213"/>
      <c r="L17" s="211">
        <f t="shared" si="1"/>
        <v>0</v>
      </c>
      <c r="M17" s="208"/>
    </row>
    <row r="18" spans="1:13" hidden="1">
      <c r="A18" s="5" t="s">
        <v>199</v>
      </c>
      <c r="B18" s="208"/>
      <c r="C18" s="209">
        <v>0</v>
      </c>
      <c r="D18" s="210"/>
      <c r="E18" s="209">
        <v>0</v>
      </c>
      <c r="F18" s="210"/>
      <c r="G18" s="211">
        <f t="shared" si="2"/>
        <v>0</v>
      </c>
      <c r="H18" s="210"/>
      <c r="I18" s="210"/>
      <c r="J18" s="211">
        <v>0</v>
      </c>
      <c r="K18" s="213"/>
      <c r="L18" s="211">
        <f t="shared" si="1"/>
        <v>0</v>
      </c>
      <c r="M18" s="208"/>
    </row>
    <row r="19" spans="1:13" hidden="1">
      <c r="A19" s="5" t="s">
        <v>200</v>
      </c>
      <c r="B19" s="208"/>
      <c r="C19" s="209">
        <v>0</v>
      </c>
      <c r="D19" s="210"/>
      <c r="E19" s="209">
        <v>0</v>
      </c>
      <c r="F19" s="210"/>
      <c r="G19" s="211">
        <f t="shared" si="2"/>
        <v>0</v>
      </c>
      <c r="H19" s="210"/>
      <c r="I19" s="210">
        <v>0</v>
      </c>
      <c r="J19" s="211">
        <v>0</v>
      </c>
      <c r="K19" s="213"/>
      <c r="L19" s="211">
        <f t="shared" si="1"/>
        <v>0</v>
      </c>
      <c r="M19" s="208"/>
    </row>
    <row r="20" spans="1:13">
      <c r="A20" s="36" t="s">
        <v>153</v>
      </c>
      <c r="B20" s="208"/>
      <c r="C20" s="215">
        <f>SUM(C13:C13)</f>
        <v>3500</v>
      </c>
      <c r="D20" s="210"/>
      <c r="E20" s="215">
        <f>SUM(E13:E19)</f>
        <v>0</v>
      </c>
      <c r="F20" s="210"/>
      <c r="G20" s="215">
        <f>SUM(G13:G19)</f>
        <v>3500</v>
      </c>
      <c r="H20" s="210"/>
      <c r="I20" s="215">
        <f>SUM(I13:I19)</f>
        <v>0</v>
      </c>
      <c r="J20" s="215">
        <f>SUM(J13:J19)</f>
        <v>0</v>
      </c>
      <c r="K20" s="210"/>
      <c r="L20" s="215">
        <f>SUM(L13:L19)</f>
        <v>3500</v>
      </c>
      <c r="M20" s="208"/>
    </row>
    <row r="21" spans="1:13">
      <c r="A21" s="36" t="s">
        <v>154</v>
      </c>
      <c r="B21" s="208"/>
      <c r="C21" s="215">
        <f>C11-C20</f>
        <v>23113</v>
      </c>
      <c r="D21" s="210"/>
      <c r="E21" s="210"/>
      <c r="F21" s="210"/>
      <c r="G21" s="215">
        <f>G11-G20</f>
        <v>23113</v>
      </c>
      <c r="H21" s="210"/>
      <c r="I21" s="210"/>
      <c r="J21" s="210"/>
      <c r="K21" s="210"/>
      <c r="L21" s="210"/>
      <c r="M21" s="208"/>
    </row>
    <row r="22" spans="1:13">
      <c r="A22" s="208"/>
      <c r="B22" s="208"/>
      <c r="C22" s="208"/>
      <c r="D22" s="208"/>
      <c r="E22" s="208"/>
      <c r="F22" s="208"/>
      <c r="G22" s="208"/>
      <c r="H22" s="208"/>
      <c r="I22" s="208"/>
      <c r="J22" s="218"/>
      <c r="K22" s="208"/>
      <c r="L22" s="208"/>
      <c r="M22" s="208"/>
    </row>
    <row r="23" spans="1:13">
      <c r="G23" s="4"/>
    </row>
  </sheetData>
  <mergeCells count="4">
    <mergeCell ref="A1:L1"/>
    <mergeCell ref="A2:L2"/>
    <mergeCell ref="A3:L3"/>
    <mergeCell ref="A4:L4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02B32-E048-486E-AAB9-42D23D5537BD}">
  <sheetPr>
    <tabColor theme="2" tint="-0.499984740745262"/>
  </sheetPr>
  <dimension ref="A1:P29"/>
  <sheetViews>
    <sheetView workbookViewId="0">
      <selection activeCell="K31" sqref="K31"/>
    </sheetView>
  </sheetViews>
  <sheetFormatPr defaultColWidth="9.140625" defaultRowHeight="15"/>
  <cols>
    <col min="1" max="1" width="32.5703125" style="62" bestFit="1" customWidth="1"/>
    <col min="2" max="2" width="1.7109375" style="62" customWidth="1"/>
    <col min="3" max="3" width="10.5703125" style="62" bestFit="1" customWidth="1"/>
    <col min="4" max="4" width="1.7109375" style="62" customWidth="1"/>
    <col min="5" max="5" width="11.5703125" style="62" customWidth="1"/>
    <col min="6" max="6" width="1.7109375" style="62" customWidth="1"/>
    <col min="7" max="7" width="11.7109375" style="62" bestFit="1" customWidth="1"/>
    <col min="8" max="8" width="1.7109375" style="62" customWidth="1"/>
    <col min="9" max="9" width="15.28515625" style="62" hidden="1" customWidth="1"/>
    <col min="10" max="10" width="15.28515625" style="62" customWidth="1"/>
    <col min="11" max="11" width="14" style="62" customWidth="1"/>
    <col min="12" max="12" width="1.7109375" style="62" customWidth="1"/>
    <col min="13" max="13" width="10.140625" style="62" customWidth="1"/>
    <col min="14" max="16384" width="9.140625" style="62"/>
  </cols>
  <sheetData>
    <row r="1" spans="1:16">
      <c r="A1" s="258" t="s">
        <v>65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</row>
    <row r="2" spans="1:16">
      <c r="A2" s="258" t="s">
        <v>201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6">
      <c r="A3" s="258" t="s">
        <v>189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16" ht="15" customHeight="1">
      <c r="A4" s="258" t="str">
        <f>'Budget Committee'!A4:L4</f>
        <v>As of March 31, 2025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6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6" ht="27" thickBot="1">
      <c r="A6" s="159" t="s">
        <v>68</v>
      </c>
      <c r="B6" s="160"/>
      <c r="C6" s="161" t="s">
        <v>72</v>
      </c>
      <c r="D6" s="162"/>
      <c r="E6" s="161" t="s">
        <v>73</v>
      </c>
      <c r="F6" s="162"/>
      <c r="G6" s="161" t="s">
        <v>74</v>
      </c>
      <c r="H6" s="162"/>
      <c r="I6" s="37" t="s">
        <v>148</v>
      </c>
      <c r="J6" s="37" t="s">
        <v>148</v>
      </c>
      <c r="K6" s="37" t="s">
        <v>194</v>
      </c>
      <c r="L6" s="38"/>
      <c r="M6" s="161" t="s">
        <v>150</v>
      </c>
    </row>
    <row r="7" spans="1:16">
      <c r="A7" s="5" t="s">
        <v>90</v>
      </c>
      <c r="B7" s="5"/>
      <c r="C7" s="125">
        <f>Referendums!E70</f>
        <v>18736</v>
      </c>
      <c r="D7" s="164"/>
      <c r="E7" s="163"/>
      <c r="F7" s="164"/>
      <c r="G7" s="165">
        <f>+C7+E7</f>
        <v>18736</v>
      </c>
      <c r="H7" s="164"/>
      <c r="I7" s="164"/>
      <c r="J7" s="177"/>
      <c r="K7" s="178"/>
      <c r="L7" s="166"/>
      <c r="M7" s="165">
        <f>G7-K7</f>
        <v>18736</v>
      </c>
    </row>
    <row r="8" spans="1:16">
      <c r="A8" s="5" t="s">
        <v>93</v>
      </c>
      <c r="B8" s="5"/>
      <c r="C8" s="164">
        <f>Referendums!E74</f>
        <v>16748</v>
      </c>
      <c r="D8" s="164"/>
      <c r="E8" s="163">
        <v>0</v>
      </c>
      <c r="F8" s="164"/>
      <c r="G8" s="165">
        <f t="shared" ref="G8:G9" si="0">+C8+E8</f>
        <v>16748</v>
      </c>
      <c r="H8" s="164"/>
      <c r="I8" s="164"/>
      <c r="J8" s="177"/>
      <c r="K8" s="178"/>
      <c r="L8" s="166"/>
      <c r="M8" s="165">
        <f>G8-K8</f>
        <v>16748</v>
      </c>
      <c r="P8" s="80"/>
    </row>
    <row r="9" spans="1:16">
      <c r="A9" s="5" t="s">
        <v>158</v>
      </c>
      <c r="B9" s="5"/>
      <c r="C9" s="163">
        <v>0</v>
      </c>
      <c r="D9" s="164"/>
      <c r="E9" s="163">
        <v>25351</v>
      </c>
      <c r="F9" s="164"/>
      <c r="G9" s="165">
        <f t="shared" si="0"/>
        <v>25351</v>
      </c>
      <c r="H9" s="164"/>
      <c r="I9" s="164"/>
      <c r="J9" s="177"/>
      <c r="K9" s="178"/>
      <c r="L9" s="166"/>
      <c r="M9" s="165">
        <f>+G9+K9</f>
        <v>25351</v>
      </c>
    </row>
    <row r="10" spans="1:16">
      <c r="A10" s="36" t="s">
        <v>97</v>
      </c>
      <c r="B10" s="5"/>
      <c r="C10" s="167">
        <f>SUM(C7:C9)</f>
        <v>35484</v>
      </c>
      <c r="D10" s="164"/>
      <c r="E10" s="167">
        <f>SUM(E7:E9)</f>
        <v>25351</v>
      </c>
      <c r="F10" s="164"/>
      <c r="G10" s="168">
        <f>SUM(G7:G9)</f>
        <v>60835</v>
      </c>
      <c r="H10" s="164"/>
      <c r="I10" s="168">
        <f>SUM(I7:I9)</f>
        <v>0</v>
      </c>
      <c r="J10" s="177"/>
      <c r="K10" s="177"/>
      <c r="L10" s="166"/>
      <c r="M10" s="168">
        <f>SUM(M7:M9)</f>
        <v>60835</v>
      </c>
    </row>
    <row r="11" spans="1:16">
      <c r="A11" s="5"/>
      <c r="B11" s="5"/>
      <c r="C11" s="163"/>
      <c r="D11" s="164"/>
      <c r="E11" s="163"/>
      <c r="F11" s="164"/>
      <c r="G11" s="165"/>
      <c r="H11" s="164"/>
      <c r="I11" s="164"/>
      <c r="J11" s="164"/>
      <c r="K11" s="165"/>
      <c r="L11" s="166"/>
      <c r="M11" s="165"/>
    </row>
    <row r="12" spans="1:16">
      <c r="A12" s="5" t="s">
        <v>104</v>
      </c>
      <c r="B12" s="5"/>
      <c r="C12" s="163">
        <v>18253</v>
      </c>
      <c r="D12" s="164"/>
      <c r="E12" s="163">
        <v>0</v>
      </c>
      <c r="F12" s="164"/>
      <c r="G12" s="165">
        <f>C12-E12</f>
        <v>18253</v>
      </c>
      <c r="H12" s="164"/>
      <c r="I12" s="164">
        <v>0</v>
      </c>
      <c r="J12" s="164">
        <v>2922.52</v>
      </c>
      <c r="K12" s="85">
        <v>9439.92</v>
      </c>
      <c r="L12" s="166"/>
      <c r="M12" s="165">
        <f>+G12-J12-K12</f>
        <v>5890.5599999999995</v>
      </c>
    </row>
    <row r="13" spans="1:16">
      <c r="A13" s="5" t="s">
        <v>187</v>
      </c>
      <c r="B13" s="5"/>
      <c r="C13" s="163">
        <v>44574</v>
      </c>
      <c r="D13" s="164"/>
      <c r="E13" s="163">
        <v>0</v>
      </c>
      <c r="F13" s="164"/>
      <c r="G13" s="165">
        <f>+C13+E13</f>
        <v>44574</v>
      </c>
      <c r="H13" s="164"/>
      <c r="I13" s="164">
        <v>0</v>
      </c>
      <c r="J13" s="164">
        <v>0</v>
      </c>
      <c r="K13" s="165">
        <v>0</v>
      </c>
      <c r="L13" s="166"/>
      <c r="M13" s="165">
        <f>+G13-J13-K13</f>
        <v>44574</v>
      </c>
    </row>
    <row r="14" spans="1:16">
      <c r="A14" s="5" t="s">
        <v>202</v>
      </c>
      <c r="B14" s="5"/>
      <c r="C14" s="163">
        <v>0</v>
      </c>
      <c r="D14" s="164"/>
      <c r="E14" s="163">
        <v>0</v>
      </c>
      <c r="F14" s="164"/>
      <c r="G14" s="165">
        <f>+C14+E14</f>
        <v>0</v>
      </c>
      <c r="H14" s="164"/>
      <c r="I14" s="164">
        <v>0</v>
      </c>
      <c r="J14" s="164">
        <v>0</v>
      </c>
      <c r="K14" s="165">
        <v>0</v>
      </c>
      <c r="L14" s="166"/>
      <c r="M14" s="165">
        <f t="shared" ref="M14" si="1">G14-J14-K14</f>
        <v>0</v>
      </c>
    </row>
    <row r="15" spans="1:16" hidden="1">
      <c r="A15" s="5"/>
      <c r="B15" s="5"/>
      <c r="C15" s="163">
        <v>0</v>
      </c>
      <c r="D15" s="164"/>
      <c r="E15" s="163">
        <v>0</v>
      </c>
      <c r="F15" s="164"/>
      <c r="G15" s="165">
        <f t="shared" ref="G15:G21" si="2">+C15+E15</f>
        <v>0</v>
      </c>
      <c r="H15" s="164"/>
      <c r="I15" s="164">
        <v>0</v>
      </c>
      <c r="J15" s="164"/>
      <c r="K15" s="165">
        <v>0</v>
      </c>
      <c r="L15" s="166"/>
      <c r="M15" s="165">
        <f t="shared" ref="M15:M18" si="3">G15-K15</f>
        <v>0</v>
      </c>
    </row>
    <row r="16" spans="1:16" hidden="1">
      <c r="A16" s="5" t="s">
        <v>174</v>
      </c>
      <c r="B16" s="5"/>
      <c r="C16" s="163">
        <v>0</v>
      </c>
      <c r="D16" s="164"/>
      <c r="E16" s="163">
        <v>0</v>
      </c>
      <c r="F16" s="164"/>
      <c r="G16" s="165">
        <f t="shared" si="2"/>
        <v>0</v>
      </c>
      <c r="H16" s="164"/>
      <c r="I16" s="164"/>
      <c r="J16" s="164"/>
      <c r="K16" s="165">
        <v>0</v>
      </c>
      <c r="L16" s="166"/>
      <c r="M16" s="165">
        <f t="shared" si="3"/>
        <v>0</v>
      </c>
    </row>
    <row r="17" spans="1:13" hidden="1">
      <c r="A17" s="5" t="s">
        <v>203</v>
      </c>
      <c r="B17" s="5"/>
      <c r="C17" s="163"/>
      <c r="D17" s="164"/>
      <c r="E17" s="163">
        <v>0</v>
      </c>
      <c r="F17" s="164"/>
      <c r="G17" s="165">
        <f t="shared" si="2"/>
        <v>0</v>
      </c>
      <c r="H17" s="164"/>
      <c r="I17" s="164"/>
      <c r="J17" s="164"/>
      <c r="K17" s="165">
        <v>0</v>
      </c>
      <c r="L17" s="166"/>
      <c r="M17" s="165">
        <f t="shared" si="3"/>
        <v>0</v>
      </c>
    </row>
    <row r="18" spans="1:13" hidden="1">
      <c r="A18" s="5" t="s">
        <v>204</v>
      </c>
      <c r="B18" s="5"/>
      <c r="C18" s="163">
        <v>0</v>
      </c>
      <c r="D18" s="164"/>
      <c r="E18" s="163">
        <v>0</v>
      </c>
      <c r="F18" s="164"/>
      <c r="G18" s="165">
        <f>+C18+E18</f>
        <v>0</v>
      </c>
      <c r="H18" s="164"/>
      <c r="I18" s="164">
        <v>0</v>
      </c>
      <c r="J18" s="164"/>
      <c r="K18" s="165">
        <v>0</v>
      </c>
      <c r="L18" s="166"/>
      <c r="M18" s="165">
        <f t="shared" si="3"/>
        <v>0</v>
      </c>
    </row>
    <row r="19" spans="1:13" hidden="1">
      <c r="A19" s="5" t="s">
        <v>205</v>
      </c>
      <c r="B19" s="5"/>
      <c r="C19" s="163">
        <v>0</v>
      </c>
      <c r="D19" s="164"/>
      <c r="E19" s="163">
        <v>0</v>
      </c>
      <c r="F19" s="164"/>
      <c r="G19" s="165">
        <f t="shared" si="2"/>
        <v>0</v>
      </c>
      <c r="H19" s="164"/>
      <c r="I19" s="164">
        <v>0</v>
      </c>
      <c r="J19" s="164"/>
      <c r="K19" s="165">
        <v>0</v>
      </c>
      <c r="L19" s="166"/>
      <c r="M19" s="165">
        <f>+G19-K19</f>
        <v>0</v>
      </c>
    </row>
    <row r="20" spans="1:13" hidden="1">
      <c r="A20" s="5" t="s">
        <v>179</v>
      </c>
      <c r="B20" s="5"/>
      <c r="C20" s="163">
        <v>0</v>
      </c>
      <c r="D20" s="164"/>
      <c r="E20" s="163">
        <v>0</v>
      </c>
      <c r="F20" s="164"/>
      <c r="G20" s="165">
        <f t="shared" si="2"/>
        <v>0</v>
      </c>
      <c r="H20" s="164"/>
      <c r="I20" s="165">
        <v>0</v>
      </c>
      <c r="J20" s="165"/>
      <c r="K20" s="165">
        <v>0</v>
      </c>
      <c r="L20" s="166"/>
      <c r="M20" s="165">
        <f>+G20-K20</f>
        <v>0</v>
      </c>
    </row>
    <row r="21" spans="1:13" hidden="1">
      <c r="A21" s="5" t="s">
        <v>200</v>
      </c>
      <c r="B21" s="5"/>
      <c r="C21" s="163">
        <v>0</v>
      </c>
      <c r="D21" s="164"/>
      <c r="E21" s="163">
        <v>0</v>
      </c>
      <c r="F21" s="164"/>
      <c r="G21" s="165">
        <f t="shared" si="2"/>
        <v>0</v>
      </c>
      <c r="H21" s="164"/>
      <c r="I21" s="166">
        <v>0</v>
      </c>
      <c r="J21" s="166"/>
      <c r="K21" s="165">
        <v>0</v>
      </c>
      <c r="L21" s="166"/>
      <c r="M21" s="165">
        <f>+G21-K21</f>
        <v>0</v>
      </c>
    </row>
    <row r="22" spans="1:13">
      <c r="A22" s="36" t="s">
        <v>153</v>
      </c>
      <c r="B22" s="5"/>
      <c r="C22" s="167">
        <f>SUM(C12:C21)</f>
        <v>62827</v>
      </c>
      <c r="D22" s="164"/>
      <c r="E22" s="167">
        <f>SUM(E12:E21)</f>
        <v>0</v>
      </c>
      <c r="F22" s="164"/>
      <c r="G22" s="167">
        <f>SUM(G12:G21)</f>
        <v>62827</v>
      </c>
      <c r="H22" s="164"/>
      <c r="I22" s="139">
        <f>SUM(I12:I21)</f>
        <v>0</v>
      </c>
      <c r="J22" s="139">
        <f>SUM(J12:J14)</f>
        <v>2922.52</v>
      </c>
      <c r="K22" s="167">
        <f>SUM(K12:K21)</f>
        <v>9439.92</v>
      </c>
      <c r="L22" s="164"/>
      <c r="M22" s="167">
        <f>SUM(M12:M21)</f>
        <v>50464.56</v>
      </c>
    </row>
    <row r="23" spans="1:13">
      <c r="A23" s="36" t="s">
        <v>154</v>
      </c>
      <c r="B23" s="5"/>
      <c r="C23" s="167">
        <f>C10-C22</f>
        <v>-27343</v>
      </c>
      <c r="D23" s="164"/>
      <c r="E23" s="164"/>
      <c r="F23" s="164"/>
      <c r="G23" s="167">
        <f>G10-G22</f>
        <v>-1992</v>
      </c>
      <c r="H23" s="164"/>
      <c r="K23" s="164"/>
      <c r="L23" s="164"/>
      <c r="M23" s="164"/>
    </row>
    <row r="24" spans="1:13">
      <c r="A24" s="5"/>
      <c r="B24" s="5"/>
      <c r="C24" s="5"/>
      <c r="D24" s="5"/>
      <c r="E24" s="5"/>
      <c r="F24" s="5"/>
      <c r="G24" s="5"/>
      <c r="H24" s="5"/>
      <c r="K24" s="175"/>
      <c r="L24" s="5"/>
      <c r="M24" s="5"/>
    </row>
    <row r="25" spans="1:13">
      <c r="K25" s="80"/>
    </row>
    <row r="26" spans="1:13">
      <c r="G26" s="80"/>
    </row>
    <row r="27" spans="1:13">
      <c r="K27" s="80"/>
    </row>
    <row r="29" spans="1:13" hidden="1">
      <c r="E29" s="62">
        <f>21667-21213</f>
        <v>454</v>
      </c>
    </row>
  </sheetData>
  <mergeCells count="4">
    <mergeCell ref="A1:M1"/>
    <mergeCell ref="A2:M2"/>
    <mergeCell ref="A3:M3"/>
    <mergeCell ref="A4:M4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40EEE-0AB3-42B9-AF9D-4D786D3B7568}">
  <sheetPr>
    <tabColor theme="2" tint="-0.499984740745262"/>
  </sheetPr>
  <dimension ref="A1:O19"/>
  <sheetViews>
    <sheetView workbookViewId="0">
      <selection activeCell="B16" sqref="B16"/>
    </sheetView>
  </sheetViews>
  <sheetFormatPr defaultRowHeight="15"/>
  <cols>
    <col min="1" max="1" width="9.7109375" bestFit="1" customWidth="1"/>
    <col min="2" max="2" width="39.28515625" customWidth="1"/>
    <col min="3" max="3" width="1.7109375" customWidth="1"/>
    <col min="4" max="4" width="10.5703125" bestFit="1" customWidth="1"/>
    <col min="5" max="5" width="1.7109375" customWidth="1"/>
    <col min="6" max="6" width="11.5703125" customWidth="1"/>
    <col min="7" max="7" width="1.7109375" customWidth="1"/>
    <col min="8" max="8" width="11.7109375" bestFit="1" customWidth="1"/>
    <col min="9" max="9" width="1.7109375" customWidth="1"/>
    <col min="10" max="10" width="14" customWidth="1"/>
    <col min="11" max="11" width="1.7109375" customWidth="1"/>
    <col min="12" max="12" width="10.140625" customWidth="1"/>
  </cols>
  <sheetData>
    <row r="1" spans="1:15">
      <c r="A1" s="259" t="s">
        <v>65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</row>
    <row r="2" spans="1:15">
      <c r="A2" s="259" t="s">
        <v>206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</row>
    <row r="3" spans="1:15">
      <c r="A3" s="259" t="s">
        <v>189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</row>
    <row r="4" spans="1:15" ht="12.75" customHeight="1">
      <c r="A4" s="259" t="str">
        <f>'Budget Committee'!A4:L4</f>
        <v>As of March 31, 2025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</row>
    <row r="5" spans="1:1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5" ht="52.5" thickBot="1">
      <c r="A6" t="s">
        <v>207</v>
      </c>
      <c r="B6" s="204" t="s">
        <v>68</v>
      </c>
      <c r="C6" s="205"/>
      <c r="D6" s="206" t="s">
        <v>72</v>
      </c>
      <c r="E6" s="207"/>
      <c r="F6" s="206" t="s">
        <v>73</v>
      </c>
      <c r="G6" s="207"/>
      <c r="H6" s="206" t="s">
        <v>74</v>
      </c>
      <c r="I6" s="207"/>
      <c r="J6" s="37" t="s">
        <v>186</v>
      </c>
      <c r="K6" s="38"/>
      <c r="L6" s="206" t="s">
        <v>150</v>
      </c>
      <c r="M6" s="208"/>
    </row>
    <row r="7" spans="1:15">
      <c r="B7" s="208" t="s">
        <v>90</v>
      </c>
      <c r="C7" s="208"/>
      <c r="D7" s="209">
        <f>Referendums!E81</f>
        <v>9368</v>
      </c>
      <c r="E7" s="210"/>
      <c r="F7" s="209">
        <v>0</v>
      </c>
      <c r="G7" s="210"/>
      <c r="H7" s="211">
        <f>+D7+F7</f>
        <v>9368</v>
      </c>
      <c r="I7" s="210"/>
      <c r="J7" s="217"/>
      <c r="K7" s="213"/>
      <c r="L7" s="211">
        <f>H7-J7</f>
        <v>9368</v>
      </c>
      <c r="M7" s="208"/>
    </row>
    <row r="8" spans="1:15">
      <c r="B8" s="208" t="s">
        <v>93</v>
      </c>
      <c r="C8" s="208"/>
      <c r="D8" s="209">
        <f>Referendums!E85</f>
        <v>8374</v>
      </c>
      <c r="E8" s="210"/>
      <c r="F8" s="209">
        <v>0</v>
      </c>
      <c r="G8" s="210"/>
      <c r="H8" s="211">
        <f>+D8+F8</f>
        <v>8374</v>
      </c>
      <c r="I8" s="210"/>
      <c r="J8" s="212"/>
      <c r="K8" s="213"/>
      <c r="L8" s="211">
        <f>H8-J8</f>
        <v>8374</v>
      </c>
      <c r="M8" s="208"/>
      <c r="O8" s="4"/>
    </row>
    <row r="9" spans="1:15">
      <c r="B9" s="214" t="s">
        <v>97</v>
      </c>
      <c r="C9" s="208"/>
      <c r="D9" s="215">
        <f>SUM(D7:D8)</f>
        <v>17742</v>
      </c>
      <c r="E9" s="210"/>
      <c r="F9" s="215">
        <f>SUM(F7:F8)</f>
        <v>0</v>
      </c>
      <c r="G9" s="210"/>
      <c r="H9" s="216">
        <f>SUM(H7:H8)</f>
        <v>17742</v>
      </c>
      <c r="I9" s="210"/>
      <c r="J9" s="212"/>
      <c r="K9" s="213"/>
      <c r="L9" s="216">
        <f>SUM(L7:L8)</f>
        <v>17742</v>
      </c>
      <c r="M9" s="208"/>
    </row>
    <row r="10" spans="1:15">
      <c r="B10" s="208"/>
      <c r="C10" s="208"/>
      <c r="D10" s="209"/>
      <c r="E10" s="210"/>
      <c r="F10" s="209"/>
      <c r="G10" s="210"/>
      <c r="H10" s="211"/>
      <c r="I10" s="210"/>
      <c r="J10" s="211"/>
      <c r="K10" s="213"/>
      <c r="L10" s="211"/>
      <c r="M10" s="208"/>
    </row>
    <row r="11" spans="1:15">
      <c r="A11" s="219"/>
      <c r="B11" s="5" t="s">
        <v>104</v>
      </c>
      <c r="C11" s="208"/>
      <c r="D11" s="209">
        <v>2300</v>
      </c>
      <c r="E11" s="210"/>
      <c r="F11" s="209">
        <v>0</v>
      </c>
      <c r="G11" s="210"/>
      <c r="H11" s="211">
        <f>D11+F11</f>
        <v>2300</v>
      </c>
      <c r="I11" s="210"/>
      <c r="J11" s="211">
        <v>0</v>
      </c>
      <c r="K11" s="213"/>
      <c r="L11" s="211">
        <f t="shared" ref="L11:L15" si="0">H11-J11</f>
        <v>2300</v>
      </c>
      <c r="M11" s="208"/>
    </row>
    <row r="12" spans="1:15">
      <c r="A12" s="219"/>
      <c r="B12" s="5"/>
      <c r="C12" s="208"/>
      <c r="D12" s="209"/>
      <c r="E12" s="210"/>
      <c r="F12" s="209"/>
      <c r="G12" s="210"/>
      <c r="H12" s="211"/>
      <c r="I12" s="210"/>
      <c r="J12" s="211"/>
      <c r="K12" s="213"/>
      <c r="L12" s="211"/>
      <c r="M12" s="208"/>
    </row>
    <row r="13" spans="1:15" hidden="1">
      <c r="A13" s="219"/>
      <c r="B13" s="208"/>
      <c r="C13" s="208"/>
      <c r="D13" s="209">
        <v>0</v>
      </c>
      <c r="E13" s="210"/>
      <c r="F13" s="209"/>
      <c r="G13" s="210"/>
      <c r="H13" s="211">
        <f t="shared" ref="H13:H14" si="1">+D13+F13</f>
        <v>0</v>
      </c>
      <c r="I13" s="210"/>
      <c r="J13" s="211">
        <v>0</v>
      </c>
      <c r="K13" s="213"/>
      <c r="L13" s="211">
        <f t="shared" si="0"/>
        <v>0</v>
      </c>
      <c r="M13" s="218"/>
    </row>
    <row r="14" spans="1:15" hidden="1">
      <c r="A14" s="219"/>
      <c r="B14" s="208"/>
      <c r="C14" s="208"/>
      <c r="D14" s="209">
        <v>0</v>
      </c>
      <c r="E14" s="210"/>
      <c r="F14" s="209"/>
      <c r="G14" s="210"/>
      <c r="H14" s="211">
        <f t="shared" si="1"/>
        <v>0</v>
      </c>
      <c r="I14" s="210"/>
      <c r="J14" s="211">
        <v>0</v>
      </c>
      <c r="K14" s="213"/>
      <c r="L14" s="211">
        <f t="shared" si="0"/>
        <v>0</v>
      </c>
      <c r="M14" s="218"/>
    </row>
    <row r="15" spans="1:15" hidden="1">
      <c r="A15" s="219"/>
      <c r="B15" s="5"/>
      <c r="C15" s="208"/>
      <c r="D15" s="209">
        <v>0</v>
      </c>
      <c r="E15" s="210"/>
      <c r="F15" s="209"/>
      <c r="G15" s="210"/>
      <c r="H15" s="211">
        <f>+D15+F15</f>
        <v>0</v>
      </c>
      <c r="I15" s="210"/>
      <c r="J15" s="211">
        <v>0</v>
      </c>
      <c r="K15" s="213"/>
      <c r="L15" s="211">
        <f t="shared" si="0"/>
        <v>0</v>
      </c>
      <c r="M15" s="218"/>
    </row>
    <row r="16" spans="1:15">
      <c r="A16" s="208"/>
      <c r="B16" s="36" t="s">
        <v>208</v>
      </c>
      <c r="C16" s="208"/>
      <c r="D16" s="215">
        <f>SUM(D13:D15)</f>
        <v>0</v>
      </c>
      <c r="E16" s="210"/>
      <c r="F16" s="215">
        <f>SUM(F13:F15)</f>
        <v>0</v>
      </c>
      <c r="G16" s="210"/>
      <c r="H16" s="215">
        <f>SUM(H13:H15)</f>
        <v>0</v>
      </c>
      <c r="I16" s="210"/>
      <c r="J16" s="215">
        <f>SUM(J12:J15)</f>
        <v>0</v>
      </c>
      <c r="K16" s="213"/>
      <c r="L16" s="215">
        <f>SUM(L12:L15)</f>
        <v>0</v>
      </c>
      <c r="M16" s="218"/>
      <c r="N16" s="4"/>
    </row>
    <row r="17" spans="2:13">
      <c r="B17" s="36" t="s">
        <v>153</v>
      </c>
      <c r="C17" s="208"/>
      <c r="D17" s="215">
        <f>D11+D16</f>
        <v>2300</v>
      </c>
      <c r="E17" s="210"/>
      <c r="F17" s="215">
        <f>F11+F16</f>
        <v>0</v>
      </c>
      <c r="G17" s="210"/>
      <c r="H17" s="215">
        <f>H11+H16</f>
        <v>2300</v>
      </c>
      <c r="I17" s="210"/>
      <c r="J17" s="215">
        <f>+J16+J11</f>
        <v>0</v>
      </c>
      <c r="K17" s="210"/>
      <c r="L17" s="215">
        <f>L11+L16</f>
        <v>2300</v>
      </c>
      <c r="M17" s="218"/>
    </row>
    <row r="18" spans="2:13">
      <c r="B18" s="36" t="s">
        <v>154</v>
      </c>
      <c r="C18" s="208"/>
      <c r="D18" s="215">
        <f>D9-D17</f>
        <v>15442</v>
      </c>
      <c r="E18" s="210"/>
      <c r="F18" s="220"/>
      <c r="G18" s="210"/>
      <c r="H18" s="215">
        <f>H9-H17</f>
        <v>15442</v>
      </c>
      <c r="I18" s="210"/>
      <c r="J18" s="220"/>
      <c r="K18" s="210"/>
      <c r="L18" s="220"/>
      <c r="M18" s="218"/>
    </row>
    <row r="19" spans="2:13">
      <c r="B19" s="208"/>
      <c r="C19" s="208"/>
      <c r="D19" s="208"/>
      <c r="E19" s="208"/>
      <c r="F19" s="208"/>
      <c r="G19" s="208"/>
      <c r="H19" s="208"/>
      <c r="I19" s="208"/>
      <c r="J19" s="218"/>
      <c r="K19" s="208"/>
      <c r="L19" s="208"/>
      <c r="M19" s="208"/>
    </row>
  </sheetData>
  <mergeCells count="4">
    <mergeCell ref="A1:L1"/>
    <mergeCell ref="A2:L2"/>
    <mergeCell ref="A3:L3"/>
    <mergeCell ref="A4:L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a34f2d-e7e4-41e6-a269-40b67c6aa6d3" xsi:nil="true"/>
    <lcf76f155ced4ddcb4097134ff3c332f xmlns="7a43aca7-434e-402a-a753-829e22f67fe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EDD55D201A6F4E9110D1CBAFBC8A7D" ma:contentTypeVersion="15" ma:contentTypeDescription="Create a new document." ma:contentTypeScope="" ma:versionID="693f40cffc502fb2a5864af54492d5a2">
  <xsd:schema xmlns:xsd="http://www.w3.org/2001/XMLSchema" xmlns:xs="http://www.w3.org/2001/XMLSchema" xmlns:p="http://schemas.microsoft.com/office/2006/metadata/properties" xmlns:ns2="7a43aca7-434e-402a-a753-829e22f67fe1" xmlns:ns3="61a34f2d-e7e4-41e6-a269-40b67c6aa6d3" targetNamespace="http://schemas.microsoft.com/office/2006/metadata/properties" ma:root="true" ma:fieldsID="39ea6016e5d370a60a8d4329915d7a77" ns2:_="" ns3:_="">
    <xsd:import namespace="7a43aca7-434e-402a-a753-829e22f67fe1"/>
    <xsd:import namespace="61a34f2d-e7e4-41e6-a269-40b67c6aa6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3aca7-434e-402a-a753-829e22f67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2597c87-0a2f-4bcb-98aa-a355c72904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34f2d-e7e4-41e6-a269-40b67c6aa6d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33f9351-040b-48a4-851e-44abeb23ab7f}" ma:internalName="TaxCatchAll" ma:showField="CatchAllData" ma:web="61a34f2d-e7e4-41e6-a269-40b67c6aa6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BD0ECB-EE37-4788-B3A1-47A3AE0A2D0A}"/>
</file>

<file path=customXml/itemProps2.xml><?xml version="1.0" encoding="utf-8"?>
<ds:datastoreItem xmlns:ds="http://schemas.openxmlformats.org/officeDocument/2006/customXml" ds:itemID="{526E622C-59AA-4EC3-A65F-267FEBEE6FAC}"/>
</file>

<file path=customXml/itemProps3.xml><?xml version="1.0" encoding="utf-8"?>
<ds:datastoreItem xmlns:ds="http://schemas.openxmlformats.org/officeDocument/2006/customXml" ds:itemID="{7A912E6B-8F66-4F3D-99D2-5BAFC436A0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York College CUNY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Delacruz</dc:creator>
  <cp:keywords/>
  <dc:description/>
  <cp:lastModifiedBy>James Salnave</cp:lastModifiedBy>
  <cp:revision/>
  <dcterms:created xsi:type="dcterms:W3CDTF">2017-07-17T17:38:54Z</dcterms:created>
  <dcterms:modified xsi:type="dcterms:W3CDTF">2025-05-06T16:54:51Z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0x01010051EDD55D201A6F4E9110D1CBAFBC8A7D</vt:lpwstr>
  </property>
  <property fmtid="{D5CDD505-2E9C-101B-9397-08002B2CF9AE}" pid="3" name="MediaServiceImageTags">
    <vt:lpwstr/>
  </property>
</Properties>
</file>